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5116032efd75fb4/Desktop/Europolis OÜ/Viljandi valla ÜVK kava/VALLA ÜVK KAVA/"/>
    </mc:Choice>
  </mc:AlternateContent>
  <xr:revisionPtr revIDLastSave="31" documentId="13_ncr:1_{42E5691F-8963-4793-97F1-CB1A56D99A3F}" xr6:coauthVersionLast="47" xr6:coauthVersionMax="47" xr10:uidLastSave="{9DDE683B-4578-4156-9C75-8009D9EF3C26}"/>
  <bookViews>
    <workbookView xWindow="-110" yWindow="-110" windowWidth="19420" windowHeight="10300" xr2:uid="{00000000-000D-0000-FFFF-FFFF00000000}"/>
  </bookViews>
  <sheets>
    <sheet name="Eelarve ja ajakava" sheetId="1" r:id="rId1"/>
    <sheet name="AS Viljandi Veevärk" sheetId="5" r:id="rId2"/>
    <sheet name="OÜ Ramsi VK" sheetId="6" r:id="rId3"/>
    <sheet name="OÜ Põltsamaa Vesi" sheetId="7" r:id="rId4"/>
    <sheet name="Mahud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E28" i="6"/>
  <c r="E27" i="6"/>
  <c r="E22" i="6"/>
  <c r="E20" i="6"/>
  <c r="E39" i="5"/>
  <c r="E24" i="5"/>
  <c r="E19" i="5"/>
  <c r="H60" i="1"/>
  <c r="I60" i="1"/>
  <c r="J60" i="1"/>
  <c r="E60" i="1"/>
  <c r="H59" i="1"/>
  <c r="I59" i="1"/>
  <c r="J59" i="1"/>
  <c r="E59" i="1"/>
  <c r="D50" i="1"/>
  <c r="J50" i="1"/>
  <c r="D49" i="1"/>
  <c r="J49" i="1"/>
  <c r="F54" i="1"/>
  <c r="G54" i="1"/>
  <c r="H54" i="1"/>
  <c r="I54" i="1"/>
  <c r="E54" i="1"/>
  <c r="F53" i="1"/>
  <c r="G53" i="1"/>
  <c r="H53" i="1"/>
  <c r="I53" i="1"/>
  <c r="E55" i="1"/>
  <c r="E53" i="1"/>
  <c r="D46" i="1"/>
  <c r="D47" i="1" s="1"/>
  <c r="D38" i="1"/>
  <c r="D39" i="1" s="1"/>
  <c r="D23" i="1"/>
  <c r="I23" i="1" s="1"/>
  <c r="I24" i="1" s="1"/>
  <c r="D24" i="1" l="1"/>
  <c r="G20" i="1"/>
  <c r="D19" i="1"/>
  <c r="I19" i="1" s="1"/>
  <c r="F16" i="1"/>
  <c r="E12" i="1"/>
  <c r="E17" i="6"/>
  <c r="E15" i="6"/>
  <c r="E19" i="6"/>
  <c r="I56" i="1" l="1"/>
  <c r="I57" i="1" s="1"/>
  <c r="I20" i="1"/>
  <c r="D20" i="1" s="1"/>
  <c r="E6" i="6" l="1"/>
  <c r="E7" i="6"/>
  <c r="E8" i="6"/>
  <c r="E9" i="6"/>
  <c r="E10" i="6"/>
  <c r="E11" i="6"/>
  <c r="E12" i="6"/>
  <c r="E5" i="6" l="1"/>
  <c r="D10" i="1"/>
  <c r="E9" i="1"/>
  <c r="E42" i="6"/>
  <c r="D48" i="1"/>
  <c r="E17" i="7"/>
  <c r="E16" i="7"/>
  <c r="E15" i="7"/>
  <c r="E18" i="7" s="1"/>
  <c r="E19" i="7" s="1"/>
  <c r="E20" i="7" s="1"/>
  <c r="E9" i="7"/>
  <c r="E8" i="7"/>
  <c r="E7" i="7"/>
  <c r="E6" i="7"/>
  <c r="E5" i="7"/>
  <c r="E4" i="7"/>
  <c r="E83" i="6"/>
  <c r="E82" i="6"/>
  <c r="E81" i="6"/>
  <c r="E80" i="6"/>
  <c r="E74" i="6"/>
  <c r="E73" i="6"/>
  <c r="E67" i="6"/>
  <c r="E66" i="6"/>
  <c r="E65" i="6"/>
  <c r="E64" i="6"/>
  <c r="E58" i="6"/>
  <c r="E57" i="6"/>
  <c r="E56" i="6"/>
  <c r="C55" i="6"/>
  <c r="E55" i="6" s="1"/>
  <c r="E50" i="6"/>
  <c r="E51" i="6" s="1"/>
  <c r="E52" i="6" s="1"/>
  <c r="E44" i="6"/>
  <c r="E43" i="6"/>
  <c r="E36" i="6"/>
  <c r="E35" i="6"/>
  <c r="E34" i="6"/>
  <c r="E33" i="6"/>
  <c r="E32" i="6"/>
  <c r="E26" i="6"/>
  <c r="E25" i="6"/>
  <c r="E18" i="6"/>
  <c r="E16" i="6"/>
  <c r="E14" i="6"/>
  <c r="E13" i="6"/>
  <c r="J48" i="1" l="1"/>
  <c r="E10" i="1"/>
  <c r="E45" i="6"/>
  <c r="E46" i="6" s="1"/>
  <c r="E47" i="6" s="1"/>
  <c r="E10" i="7"/>
  <c r="E75" i="6"/>
  <c r="E68" i="6"/>
  <c r="E84" i="6"/>
  <c r="E37" i="6"/>
  <c r="E38" i="6" s="1"/>
  <c r="E39" i="6" s="1"/>
  <c r="E85" i="6" l="1"/>
  <c r="E86" i="6" s="1"/>
  <c r="D42" i="1" s="1"/>
  <c r="D43" i="1" s="1"/>
  <c r="E76" i="6"/>
  <c r="E77" i="6" s="1"/>
  <c r="E11" i="7"/>
  <c r="E12" i="7" s="1"/>
  <c r="E60" i="6"/>
  <c r="E61" i="6" s="1"/>
  <c r="D40" i="1" s="1"/>
  <c r="D41" i="1" s="1"/>
  <c r="E69" i="6"/>
  <c r="E70" i="6" s="1"/>
  <c r="E21" i="6"/>
  <c r="D11" i="1" s="1"/>
  <c r="F11" i="1" s="1"/>
  <c r="E29" i="6"/>
  <c r="D25" i="1" l="1"/>
  <c r="E22" i="7"/>
  <c r="D65" i="1" s="1"/>
  <c r="D44" i="1"/>
  <c r="D45" i="1" s="1"/>
  <c r="E88" i="6"/>
  <c r="D15" i="1"/>
  <c r="G15" i="1" s="1"/>
  <c r="G16" i="1" s="1"/>
  <c r="D16" i="1" s="1"/>
  <c r="F56" i="1"/>
  <c r="F12" i="1"/>
  <c r="F57" i="1" s="1"/>
  <c r="E5" i="5" l="1"/>
  <c r="E6" i="5" s="1"/>
  <c r="E34" i="5"/>
  <c r="E33" i="5"/>
  <c r="E32" i="5"/>
  <c r="E31" i="5"/>
  <c r="E30" i="5"/>
  <c r="E29" i="5"/>
  <c r="E23" i="5"/>
  <c r="E22" i="5"/>
  <c r="E16" i="5"/>
  <c r="E15" i="5"/>
  <c r="E14" i="5"/>
  <c r="E11" i="5"/>
  <c r="E13" i="5"/>
  <c r="E12" i="5"/>
  <c r="E10" i="5"/>
  <c r="E35" i="5" l="1"/>
  <c r="E36" i="5" s="1"/>
  <c r="E25" i="5"/>
  <c r="E17" i="5"/>
  <c r="E18" i="5" s="1"/>
  <c r="E7" i="5"/>
  <c r="D7" i="1" s="1"/>
  <c r="D32" i="1" l="1"/>
  <c r="E26" i="5"/>
  <c r="D35" i="1" s="1"/>
  <c r="E37" i="5"/>
  <c r="D30" i="1" s="1"/>
  <c r="D52" i="1" l="1"/>
  <c r="D36" i="1"/>
  <c r="D37" i="1" s="1"/>
  <c r="J32" i="1"/>
  <c r="J33" i="1" s="1"/>
  <c r="D63" i="1"/>
  <c r="J34" i="1" l="1"/>
  <c r="D34" i="1" s="1"/>
  <c r="D33" i="1"/>
  <c r="F25" i="1"/>
  <c r="E58" i="1"/>
  <c r="H58" i="1"/>
  <c r="J58" i="1"/>
  <c r="D58" i="1"/>
  <c r="E52" i="1"/>
  <c r="I52" i="1"/>
  <c r="I58" i="1"/>
  <c r="J30" i="1"/>
  <c r="G25" i="1" l="1"/>
  <c r="F26" i="1"/>
  <c r="F59" i="1" s="1"/>
  <c r="J31" i="1"/>
  <c r="F58" i="1"/>
  <c r="G52" i="1"/>
  <c r="F7" i="1"/>
  <c r="J38" i="1"/>
  <c r="J39" i="1" l="1"/>
  <c r="G58" i="1"/>
  <c r="G26" i="1"/>
  <c r="D26" i="1"/>
  <c r="F27" i="1"/>
  <c r="F60" i="1" s="1"/>
  <c r="F52" i="1"/>
  <c r="F61" i="1" s="1"/>
  <c r="F8" i="1"/>
  <c r="F55" i="1" s="1"/>
  <c r="G27" i="1" l="1"/>
  <c r="G60" i="1" s="1"/>
  <c r="D60" i="1" s="1"/>
  <c r="G59" i="1"/>
  <c r="D59" i="1" s="1"/>
  <c r="D27" i="1"/>
  <c r="H52" i="1"/>
  <c r="D31" i="1"/>
  <c r="J35" i="1"/>
  <c r="J52" i="1" l="1"/>
  <c r="J36" i="1"/>
  <c r="J53" i="1" s="1"/>
  <c r="D53" i="1" s="1"/>
  <c r="D8" i="1"/>
  <c r="D55" i="1" s="1"/>
  <c r="J42" i="1"/>
  <c r="J43" i="1" s="1"/>
  <c r="J44" i="1"/>
  <c r="J45" i="1" s="1"/>
  <c r="J46" i="1"/>
  <c r="J47" i="1" s="1"/>
  <c r="J40" i="1"/>
  <c r="H56" i="1"/>
  <c r="H61" i="1" s="1"/>
  <c r="G56" i="1"/>
  <c r="G61" i="1" s="1"/>
  <c r="D67" i="1" s="1"/>
  <c r="E56" i="1"/>
  <c r="E61" i="1" s="1"/>
  <c r="J41" i="1" l="1"/>
  <c r="J57" i="1" s="1"/>
  <c r="J56" i="1"/>
  <c r="J61" i="1" s="1"/>
  <c r="D68" i="1" s="1"/>
  <c r="J37" i="1"/>
  <c r="J54" i="1" s="1"/>
  <c r="D54" i="1" s="1"/>
  <c r="I61" i="1"/>
  <c r="D14" i="1"/>
  <c r="D13" i="1"/>
  <c r="H57" i="1"/>
  <c r="D17" i="1" l="1"/>
  <c r="D18" i="1"/>
  <c r="E57" i="1"/>
  <c r="G57" i="1"/>
  <c r="D22" i="1"/>
  <c r="D12" i="1"/>
  <c r="D21" i="1"/>
  <c r="D56" i="1" l="1"/>
  <c r="D61" i="1" s="1"/>
  <c r="D57" i="1"/>
  <c r="D64" i="1"/>
  <c r="D66" i="1" s="1"/>
  <c r="F75" i="4"/>
  <c r="F76" i="4"/>
  <c r="F77" i="4"/>
  <c r="F78" i="4"/>
  <c r="F74" i="4"/>
  <c r="F94" i="4"/>
  <c r="F96" i="4"/>
  <c r="F95" i="4"/>
  <c r="F93" i="4"/>
  <c r="F59" i="4"/>
  <c r="F60" i="4"/>
  <c r="F58" i="4"/>
  <c r="F57" i="4"/>
  <c r="F18" i="4"/>
  <c r="F97" i="4" l="1"/>
  <c r="F98" i="4" s="1"/>
  <c r="F79" i="4"/>
  <c r="F80" i="4" s="1"/>
  <c r="F81" i="4" s="1"/>
  <c r="F61" i="4"/>
  <c r="F62" i="4" s="1"/>
  <c r="F63" i="4" s="1"/>
  <c r="F49" i="4"/>
  <c r="F50" i="4"/>
  <c r="F51" i="4"/>
  <c r="F48" i="4"/>
  <c r="F40" i="4"/>
  <c r="F41" i="4"/>
  <c r="F42" i="4"/>
  <c r="F39" i="4"/>
  <c r="F99" i="4" l="1"/>
  <c r="F43" i="4"/>
  <c r="F19" i="4"/>
  <c r="F20" i="4" s="1"/>
  <c r="D26" i="4" l="1"/>
  <c r="F35" i="4"/>
  <c r="D30" i="4"/>
  <c r="D29" i="4"/>
  <c r="F36" i="4" l="1"/>
  <c r="F102" i="4" l="1"/>
  <c r="F103" i="4"/>
  <c r="F104" i="4"/>
  <c r="F105" i="4"/>
  <c r="F106" i="4"/>
  <c r="F101" i="4"/>
  <c r="F107" i="4" l="1"/>
  <c r="F108" i="4" s="1"/>
  <c r="F109" i="4" s="1"/>
  <c r="F110" i="4" l="1"/>
  <c r="F111" i="4" s="1"/>
  <c r="F114" i="4" l="1"/>
  <c r="F86" i="4" l="1"/>
  <c r="F84" i="4"/>
  <c r="F113" i="4" l="1"/>
  <c r="F88" i="4"/>
  <c r="F87" i="4"/>
  <c r="F85" i="4"/>
  <c r="F83" i="4"/>
  <c r="F69" i="4"/>
  <c r="F68" i="4"/>
  <c r="F67" i="4"/>
  <c r="F66" i="4"/>
  <c r="F65" i="4"/>
  <c r="F115" i="4" l="1"/>
  <c r="F116" i="4" s="1"/>
  <c r="F89" i="4"/>
  <c r="F90" i="4" s="1"/>
  <c r="F70" i="4"/>
  <c r="F71" i="4" l="1"/>
  <c r="F72" i="4" s="1"/>
  <c r="F91" i="4"/>
</calcChain>
</file>

<file path=xl/sharedStrings.xml><?xml version="1.0" encoding="utf-8"?>
<sst xmlns="http://schemas.openxmlformats.org/spreadsheetml/2006/main" count="495" uniqueCount="199">
  <si>
    <t>Kärstna küla trasside rekonstrueerimine II etapp</t>
  </si>
  <si>
    <t>Veetorustik</t>
  </si>
  <si>
    <t>Isevoolne kanalisatsioon</t>
  </si>
  <si>
    <t>Reoveepumpla</t>
  </si>
  <si>
    <t>Liitumispunktid (vesi+kanal)</t>
  </si>
  <si>
    <t>Ehitustööd kokku</t>
  </si>
  <si>
    <t>Peetrimõisa</t>
  </si>
  <si>
    <t>Kolga-Jaani</t>
  </si>
  <si>
    <t xml:space="preserve">Leie </t>
  </si>
  <si>
    <t>Ühikhind</t>
  </si>
  <si>
    <t>Summa</t>
  </si>
  <si>
    <t>Kogus</t>
  </si>
  <si>
    <t>Kõik kokku</t>
  </si>
  <si>
    <t>Omanikujärelevalve, ettenägemata kulu, projektijuhtimine</t>
  </si>
  <si>
    <t>Survekanalisatsioonitorustik</t>
  </si>
  <si>
    <t>Projekteerimine,omanikujärelevalve, ettenägematu kulu, projektijuhtimine</t>
  </si>
  <si>
    <t>Projekteerimine, omanikujärelevalve, projektijuhtimine, ettenägematu kulu</t>
  </si>
  <si>
    <t>Ühiskanalisatsiooni liitumispunkti rajamine</t>
  </si>
  <si>
    <t>Isevoolse kanalisatsioonitorustiku rajamine Pihlaka tn</t>
  </si>
  <si>
    <t>Isevoolse kanalisatsioonitorustiku rajamine</t>
  </si>
  <si>
    <t>Mustla</t>
  </si>
  <si>
    <t>Päri küla suvilapiirkonna ÜVK projekteerimine</t>
  </si>
  <si>
    <t>Päri suvilapiirkonna ÜVK rajamine</t>
  </si>
  <si>
    <t>Veetorustiku rajamine</t>
  </si>
  <si>
    <t>Veetorustiku rekonstrueerimine</t>
  </si>
  <si>
    <t>m</t>
  </si>
  <si>
    <t>Ühik</t>
  </si>
  <si>
    <t>Isevoolse kanalisatsioonitorustiku rekonstrueerimine</t>
  </si>
  <si>
    <t>Survekanalisatsioonitorustiku rajamine</t>
  </si>
  <si>
    <t>Kanalisatsioonipumpla rajamine</t>
  </si>
  <si>
    <t>kmpl</t>
  </si>
  <si>
    <t>Projekteerimine (5%), ettenägematud kulutused (10%)</t>
  </si>
  <si>
    <t>Kokku (koos projekteerimise ja ettenägematute kulutustega)</t>
  </si>
  <si>
    <t>Üldkulud, omanikujärelevalve (3%), projektijuhtimine (2%)</t>
  </si>
  <si>
    <t>Veetorustiku rajamine/rekonstrueerimine</t>
  </si>
  <si>
    <t>Isevoolse kanalisatsioonitorustiku rajamine/rekonstrueerimine</t>
  </si>
  <si>
    <t>Survekanalisatsioonitorustiku rajamine/rekonstrueerimine</t>
  </si>
  <si>
    <t>Reoveepumpla paigaldamine (s.h. elekter-automaatika)</t>
  </si>
  <si>
    <t>Ühisveevärgi liitumispunktide rajamine</t>
  </si>
  <si>
    <t>tk</t>
  </si>
  <si>
    <t>RH229310</t>
  </si>
  <si>
    <t>Omanikujärelevalve, projektijuhtimine</t>
  </si>
  <si>
    <t>Ühisveevärgi liitumispunktide rekonstrueerimine</t>
  </si>
  <si>
    <t>Ühiskanalisatsiooni liitumispunkti rekonstrueerimine</t>
  </si>
  <si>
    <t>Vardi küla Rahetsema piirkond</t>
  </si>
  <si>
    <t>Holstre</t>
  </si>
  <si>
    <t>Survekanalisatsioonitorustiku rekonstrueerimine</t>
  </si>
  <si>
    <t>ÜVK rekonstrueerimine kokku (AK)</t>
  </si>
  <si>
    <t>ÜVK rajamine kokku (MAK)</t>
  </si>
  <si>
    <t>Omanikujärelevalve, projektijuhtimine, projekteerimine</t>
  </si>
  <si>
    <t>RH 228658</t>
  </si>
  <si>
    <t>RH 225712, 220215</t>
  </si>
  <si>
    <t>Holstre küla Liivi kinnistu ÜVK rajamine</t>
  </si>
  <si>
    <t>Kanalisatsioonitorustiku rajamine</t>
  </si>
  <si>
    <t>Kokku</t>
  </si>
  <si>
    <t>Heimtali</t>
  </si>
  <si>
    <t>Kärstna</t>
  </si>
  <si>
    <t>Tegevus</t>
  </si>
  <si>
    <t>Ühisveevärgi liitumispunkti rekonstrueerimine</t>
  </si>
  <si>
    <t>Ühiskanalisatsiooni liitumispunkti rekonstrueeimine (kontrollkaev De200, torustik ja otsakork)</t>
  </si>
  <si>
    <t>Rekonstrueerimistööd kokku</t>
  </si>
  <si>
    <t>Projektijuhtimine, projekteerimine, omanikujärelevalve, tehnoloogilise projekti koostamine, ehitustööde ettenägematu kulu</t>
  </si>
  <si>
    <t>ÜVK rekonstueerimine kokku (AK)</t>
  </si>
  <si>
    <t>Rajamistööd - mitteabikõlblikud kulud</t>
  </si>
  <si>
    <t>Veetorustike rajamine</t>
  </si>
  <si>
    <t>Ühisveevärgi liitumispunkti rajamine</t>
  </si>
  <si>
    <t>Ühiskanalisatsiooni liitumispunkti rajamine (kontrollkaev De200, torustik ja otsakork)</t>
  </si>
  <si>
    <t>Projektijuhtimine, projekteerimine, omanikujärelevalve, ehitustööde ettenägematu kulu</t>
  </si>
  <si>
    <t>ÜVK ehitustööde maksumus kokku (MAK)</t>
  </si>
  <si>
    <t>Projekti kogumaksumus kokku (AK+MAK)</t>
  </si>
  <si>
    <t>ÜVK rajamise kogumaksumus (MAK)</t>
  </si>
  <si>
    <t>TP, Infragate, 2018</t>
  </si>
  <si>
    <t>Rekonstrueerimistööd (AK)</t>
  </si>
  <si>
    <t>Rekonstrueerimistööd (abikõlblik-AK)</t>
  </si>
  <si>
    <t>ÜVK laiendamine (mitteabikõlblik-MAK)</t>
  </si>
  <si>
    <t>Tehnoloogilises projektis rek: vesi 23, kanal 21, rajatav vesi 4, kanal 1</t>
  </si>
  <si>
    <t xml:space="preserve">Veetorustiku rajamine Viljandi linna territooriumil </t>
  </si>
  <si>
    <t xml:space="preserve">Veetorustiku rajamine Viljandi valla territooriumil </t>
  </si>
  <si>
    <t>Kanalisatsioonitorustiku rajamine Viljandi linna territooriumil</t>
  </si>
  <si>
    <t>Kanalisatsioonitorustiku rajamine Viljandi valla territooriumil</t>
  </si>
  <si>
    <t>Reoveepumpla rajamine</t>
  </si>
  <si>
    <t>Isevoolse kanalisatsioonitorustik rekonstrueerimine</t>
  </si>
  <si>
    <t>Ühiskanalisatsiooni liitumispunti rekonstrueerimine</t>
  </si>
  <si>
    <t>Projekteerimine, omanikujärelevalve, ettenägematu kulu, projektijuhtimine</t>
  </si>
  <si>
    <t>Jämejala veehaarde liitmine Viljandi linna veevarustuse avariiolukorra süsteemi</t>
  </si>
  <si>
    <t>Jämejala I puurkaevu rekonstrueerimine</t>
  </si>
  <si>
    <t>Veetöötlusjaama rajamine</t>
  </si>
  <si>
    <t>Jämejala II puurkaev-pumpla konserveerimine</t>
  </si>
  <si>
    <t>Projekteerimine, omanikujärelevalve, ehitustööde ettenägemata kulu, projektijuhtimine</t>
  </si>
  <si>
    <t>Veetorustiku rajamine Jämejala teel</t>
  </si>
  <si>
    <t>Viljandi vald (sh. osakapitali laiendused)</t>
  </si>
  <si>
    <t>Matapera küla torustike ja veetöötluse rekonstrueerimine</t>
  </si>
  <si>
    <t>Matapera küla torustike ja veetöötluse rekonstrueerimise projekteerimine</t>
  </si>
  <si>
    <t>Kärstna küla trasside rekonstrueerimine II etapi projekteerimine</t>
  </si>
  <si>
    <t>Heimtali veemajandusprojekti II etapi projekteerimine</t>
  </si>
  <si>
    <t>2030-2037</t>
  </si>
  <si>
    <t>Pärsti ÜVK rekonstrueerimine</t>
  </si>
  <si>
    <t>Intsu ÜVK rekonstrueerimine</t>
  </si>
  <si>
    <t>Karula ÜVK rekonstrueerimine ja laiendamine</t>
  </si>
  <si>
    <t>Ühiskanalisatsiooni rajamine Holstres Mõnnaste teel</t>
  </si>
  <si>
    <t>Kavandatud tegevus</t>
  </si>
  <si>
    <t xml:space="preserve">Projekti maht € </t>
  </si>
  <si>
    <t>Lisa 2. Investeeringud</t>
  </si>
  <si>
    <t>Viljandi Veevärk (100 %)</t>
  </si>
  <si>
    <t>Kolga-Jaani aleviku ÜVK rekonstrueerimine ja laiendamine</t>
  </si>
  <si>
    <r>
      <t>Jämejala veevõrgu Viljandi linna veevõrguga ühendamine Jämejala teel</t>
    </r>
    <r>
      <rPr>
        <sz val="11"/>
        <color theme="1"/>
        <rFont val="Calibri"/>
        <family val="2"/>
        <scheme val="minor"/>
      </rPr>
      <t xml:space="preserve"> </t>
    </r>
  </si>
  <si>
    <t>Peetrimõisa küla ühisveevärgi ja -kanalisatsiooni laiendamine (I etapp)</t>
  </si>
  <si>
    <t>Mäeltküla tööstuspargi ÜVK laiendamine</t>
  </si>
  <si>
    <t>Peetrimõisa küla ühisveevärgi ja -kanalisatsiooni laiendamine (II etapp)</t>
  </si>
  <si>
    <t>3-1.</t>
  </si>
  <si>
    <t>3-2.</t>
  </si>
  <si>
    <t>4-1.</t>
  </si>
  <si>
    <t>4-2.</t>
  </si>
  <si>
    <t>7.</t>
  </si>
  <si>
    <t>8.</t>
  </si>
  <si>
    <t>9.</t>
  </si>
  <si>
    <t>10.</t>
  </si>
  <si>
    <t>sh liitumistasudest (100 %)</t>
  </si>
  <si>
    <t>sh liitumistasudest (50 %)</t>
  </si>
  <si>
    <t>Puiatu ühiskanalisatsiooni rekonstrueerimine Kooli teel (lasteaeda teenindav torustik)</t>
  </si>
  <si>
    <t>11.</t>
  </si>
  <si>
    <t>12.</t>
  </si>
  <si>
    <t>13.</t>
  </si>
  <si>
    <t>14.</t>
  </si>
  <si>
    <t>15.</t>
  </si>
  <si>
    <t>Ühisveevärgi ja -kanalisatsiooni laiendamine Leie külas</t>
  </si>
  <si>
    <t>Jämejala</t>
  </si>
  <si>
    <t xml:space="preserve">Reoveepumpla </t>
  </si>
  <si>
    <t>Hüdrant</t>
  </si>
  <si>
    <t>Peetrimõisa II etapp</t>
  </si>
  <si>
    <t>Sademeveetorustik</t>
  </si>
  <si>
    <t>Projekteerimine, projektijuhtimine, omanikujärelevalve, ettenägematud kulud 15%</t>
  </si>
  <si>
    <t>Ühiku maksumus</t>
  </si>
  <si>
    <t xml:space="preserve">Kokku </t>
  </si>
  <si>
    <t>Ühikute arv</t>
  </si>
  <si>
    <t>AS Viljandi Veevärk teeninduspiirkond kokku</t>
  </si>
  <si>
    <t>Investeeringud AS Viljandi Veevärk Viljandi valla teeninduspiirkonnas</t>
  </si>
  <si>
    <t>1.</t>
  </si>
  <si>
    <t>5-1.</t>
  </si>
  <si>
    <t>5-2.</t>
  </si>
  <si>
    <t>Vee-ettevõte</t>
  </si>
  <si>
    <t>AS Viljandi Veevärk</t>
  </si>
  <si>
    <t>OÜ Ramsi VK</t>
  </si>
  <si>
    <t>OÜ Põltsamaa Vesi</t>
  </si>
  <si>
    <t>Pikaajaline investeeringuperiood (2030-2037)</t>
  </si>
  <si>
    <t>Lühiajaline investeeringuperiood (2025-2029)</t>
  </si>
  <si>
    <t>Päri</t>
  </si>
  <si>
    <t>Matapera</t>
  </si>
  <si>
    <t>Veetöötluse rekonstrueerimine</t>
  </si>
  <si>
    <t>PUIATU</t>
  </si>
  <si>
    <t>PÄRSTI</t>
  </si>
  <si>
    <t>Veetorustiku rek</t>
  </si>
  <si>
    <t>Kanali rek</t>
  </si>
  <si>
    <t>Veetorustiku rajamine (puurkaevude ühendamine</t>
  </si>
  <si>
    <t xml:space="preserve">Veetorustiku rajamine </t>
  </si>
  <si>
    <t>KARULA</t>
  </si>
  <si>
    <t>Survekanalisatsiooni rajamine</t>
  </si>
  <si>
    <t>Isevoolse kanalisatsiooni rajamine</t>
  </si>
  <si>
    <t>HOLSTRE</t>
  </si>
  <si>
    <t>INTSU</t>
  </si>
  <si>
    <t>Isevoolse kanalisatsiooni rekonstrueerimine</t>
  </si>
  <si>
    <t>Reoveepumpla rekonstrueerimine</t>
  </si>
  <si>
    <t>Projektijuhtimine, omanikujärelevalve, ettenägematud kulud 10%</t>
  </si>
  <si>
    <t>Investeeringud OÜ Ramsi VK teeninduspiirkonnas</t>
  </si>
  <si>
    <t>OÜ Ramsi VK teeninduspiirkond kokku</t>
  </si>
  <si>
    <t>KOLGA-JAANI</t>
  </si>
  <si>
    <t>LEIE</t>
  </si>
  <si>
    <t>Projekteerimine, projektijuhtimine, omanikujärelevalve, ettenägematud kulud 10%</t>
  </si>
  <si>
    <t xml:space="preserve"> OÜ Põltsamaa Vesi teeninduspiirkond kokku</t>
  </si>
  <si>
    <t>Investeeringud OÜ Põltsamaa Vesi teeninduspiirkonnas</t>
  </si>
  <si>
    <t>Puurkaev-pumpla rekonstrueerimine, sh:</t>
  </si>
  <si>
    <t>Juurdepääsutee-teenindusplatsi rajamine</t>
  </si>
  <si>
    <t>m2</t>
  </si>
  <si>
    <t>Pumplahoone sise- ja välisviimistluse ning põranda uuendamine</t>
  </si>
  <si>
    <t>Hoonesiseste torustike ehitustööd</t>
  </si>
  <si>
    <t>Elektri- ja automaatikaseadmed (sh SCADA)</t>
  </si>
  <si>
    <t>Tehnoloogiliste seadmete uuendamine</t>
  </si>
  <si>
    <t>Puurkaevu päise rekonstrueerimine (pk sügavus 120 m)</t>
  </si>
  <si>
    <t>Heimtali küla vee- ja kanalisatsioonitorustike ja pumpla rekonstrueerimine (Heimtali veemajandusprojekti II etapp )</t>
  </si>
  <si>
    <t>Ühisveevärgi liitumispunktid</t>
  </si>
  <si>
    <t>Ühiskanalisatsiooni liitumispunktid</t>
  </si>
  <si>
    <t>Generaatori paigaldamine koos aluse ja tiibväravaga, RLA kilp</t>
  </si>
  <si>
    <t>Muu rahastusallikas (50%)</t>
  </si>
  <si>
    <t>sh liitumistasudest (50%)</t>
  </si>
  <si>
    <t>Viljandi vald (100 %, osakapitali laiendamine)</t>
  </si>
  <si>
    <t>Viljandi vald (50 %, osakapitali laiendamine)</t>
  </si>
  <si>
    <t>sh Viljandi vald (50 %, osakapitali laiendamine)</t>
  </si>
  <si>
    <t>Liitumistasudest</t>
  </si>
  <si>
    <t>Tegevused</t>
  </si>
  <si>
    <t>Viljandi valla asulates kõik kokku</t>
  </si>
  <si>
    <t>2-1.</t>
  </si>
  <si>
    <t>2-2.</t>
  </si>
  <si>
    <t>6.</t>
  </si>
  <si>
    <t xml:space="preserve">Investeeringud AS Viljandi Veevärk teeninduspiirkonnas kokku </t>
  </si>
  <si>
    <t>Investeeringud  OÜ Ramsi VK teeninduspiirkonnas kokku</t>
  </si>
  <si>
    <t xml:space="preserve">Investeeringud OÜ Põltsamaa Vesi teeninduspiirkonnas kokku </t>
  </si>
  <si>
    <t>sh. lühiajaline periood: 2025-2029</t>
  </si>
  <si>
    <t>sh. pikaajaline periood: 2030-2037</t>
  </si>
  <si>
    <t>Mäeltküla tööstuspargi laiendamine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</si>
</sst>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rgb="FF222222"/>
      <name val="Arial"/>
      <family val="2"/>
    </font>
    <font>
      <b/>
      <i/>
      <sz val="10"/>
      <color rgb="FF222222"/>
      <name val="Arial"/>
      <family val="2"/>
    </font>
    <font>
      <i/>
      <sz val="11"/>
      <color theme="1"/>
      <name val="Calibri"/>
      <family val="2"/>
      <charset val="186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3" fontId="4" fillId="2" borderId="1" xfId="0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3" fontId="5" fillId="2" borderId="1" xfId="0" applyNumberFormat="1" applyFont="1" applyFill="1" applyBorder="1"/>
    <xf numFmtId="3" fontId="4" fillId="0" borderId="0" xfId="0" applyNumberFormat="1" applyFont="1"/>
    <xf numFmtId="0" fontId="6" fillId="0" borderId="0" xfId="0" applyFont="1"/>
    <xf numFmtId="0" fontId="0" fillId="4" borderId="1" xfId="0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Alignment="1">
      <alignment horizontal="center" wrapText="1"/>
    </xf>
    <xf numFmtId="3" fontId="0" fillId="2" borderId="1" xfId="0" applyNumberFormat="1" applyFill="1" applyBorder="1"/>
    <xf numFmtId="3" fontId="6" fillId="0" borderId="0" xfId="0" applyNumberFormat="1" applyFont="1"/>
    <xf numFmtId="0" fontId="6" fillId="2" borderId="1" xfId="0" applyFont="1" applyFill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2" xfId="0" applyBorder="1"/>
    <xf numFmtId="0" fontId="0" fillId="0" borderId="3" xfId="0" applyBorder="1"/>
    <xf numFmtId="164" fontId="4" fillId="2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3" fontId="4" fillId="5" borderId="1" xfId="0" applyNumberFormat="1" applyFont="1" applyFill="1" applyBorder="1"/>
    <xf numFmtId="3" fontId="0" fillId="5" borderId="1" xfId="0" applyNumberFormat="1" applyFill="1" applyBorder="1"/>
    <xf numFmtId="0" fontId="0" fillId="7" borderId="1" xfId="0" applyFill="1" applyBorder="1"/>
    <xf numFmtId="3" fontId="4" fillId="2" borderId="1" xfId="0" applyNumberFormat="1" applyFont="1" applyFill="1" applyBorder="1" applyAlignment="1">
      <alignment wrapText="1"/>
    </xf>
    <xf numFmtId="3" fontId="7" fillId="2" borderId="1" xfId="0" applyNumberFormat="1" applyFont="1" applyFill="1" applyBorder="1"/>
    <xf numFmtId="0" fontId="8" fillId="0" borderId="0" xfId="0" applyFont="1"/>
    <xf numFmtId="0" fontId="4" fillId="0" borderId="4" xfId="0" applyFont="1" applyBorder="1"/>
    <xf numFmtId="0" fontId="4" fillId="2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4" fillId="2" borderId="4" xfId="0" applyNumberFormat="1" applyFont="1" applyFill="1" applyBorder="1"/>
    <xf numFmtId="0" fontId="6" fillId="0" borderId="4" xfId="0" applyFont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0" fillId="0" borderId="4" xfId="0" applyBorder="1"/>
    <xf numFmtId="0" fontId="4" fillId="3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9" fillId="2" borderId="1" xfId="0" applyFont="1" applyFill="1" applyBorder="1"/>
    <xf numFmtId="0" fontId="9" fillId="0" borderId="1" xfId="0" applyFont="1" applyBorder="1"/>
    <xf numFmtId="0" fontId="0" fillId="3" borderId="1" xfId="0" applyFill="1" applyBorder="1"/>
    <xf numFmtId="0" fontId="0" fillId="6" borderId="1" xfId="0" applyFill="1" applyBorder="1"/>
    <xf numFmtId="3" fontId="4" fillId="6" borderId="1" xfId="0" applyNumberFormat="1" applyFont="1" applyFill="1" applyBorder="1" applyAlignment="1">
      <alignment wrapText="1"/>
    </xf>
    <xf numFmtId="3" fontId="4" fillId="5" borderId="1" xfId="0" applyNumberFormat="1" applyFont="1" applyFill="1" applyBorder="1" applyAlignment="1">
      <alignment wrapText="1"/>
    </xf>
    <xf numFmtId="165" fontId="4" fillId="0" borderId="0" xfId="0" applyNumberFormat="1" applyFont="1"/>
    <xf numFmtId="0" fontId="7" fillId="0" borderId="0" xfId="0" applyFont="1"/>
    <xf numFmtId="0" fontId="11" fillId="0" borderId="1" xfId="0" applyFont="1" applyBorder="1" applyAlignment="1">
      <alignment vertical="center" wrapText="1"/>
    </xf>
    <xf numFmtId="0" fontId="10" fillId="0" borderId="1" xfId="0" applyFont="1" applyBorder="1"/>
    <xf numFmtId="0" fontId="7" fillId="0" borderId="1" xfId="0" applyFont="1" applyBorder="1"/>
    <xf numFmtId="0" fontId="12" fillId="0" borderId="1" xfId="0" applyFont="1" applyBorder="1" applyAlignment="1">
      <alignment vertical="center" wrapText="1"/>
    </xf>
    <xf numFmtId="3" fontId="7" fillId="0" borderId="1" xfId="0" applyNumberFormat="1" applyFont="1" applyBorder="1"/>
    <xf numFmtId="3" fontId="10" fillId="0" borderId="1" xfId="0" applyNumberFormat="1" applyFont="1" applyBorder="1"/>
    <xf numFmtId="3" fontId="3" fillId="0" borderId="1" xfId="0" applyNumberFormat="1" applyFont="1" applyBorder="1"/>
    <xf numFmtId="3" fontId="13" fillId="0" borderId="1" xfId="0" applyNumberFormat="1" applyFont="1" applyBorder="1"/>
    <xf numFmtId="3" fontId="7" fillId="0" borderId="0" xfId="0" applyNumberFormat="1" applyFont="1"/>
    <xf numFmtId="3" fontId="7" fillId="6" borderId="1" xfId="0" applyNumberFormat="1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0" fillId="0" borderId="0" xfId="0" applyAlignment="1">
      <alignment wrapText="1"/>
    </xf>
    <xf numFmtId="0" fontId="4" fillId="0" borderId="4" xfId="0" applyFont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3" fontId="16" fillId="0" borderId="1" xfId="0" applyNumberFormat="1" applyFont="1" applyBorder="1"/>
    <xf numFmtId="3" fontId="16" fillId="0" borderId="0" xfId="0" applyNumberFormat="1" applyFont="1"/>
    <xf numFmtId="0" fontId="16" fillId="0" borderId="0" xfId="0" applyFont="1"/>
    <xf numFmtId="0" fontId="17" fillId="0" borderId="1" xfId="0" applyFont="1" applyBorder="1" applyAlignment="1">
      <alignment vertical="center" wrapText="1"/>
    </xf>
    <xf numFmtId="164" fontId="6" fillId="0" borderId="0" xfId="0" applyNumberFormat="1" applyFont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7" fillId="5" borderId="1" xfId="0" applyNumberFormat="1" applyFont="1" applyFill="1" applyBorder="1"/>
    <xf numFmtId="3" fontId="7" fillId="7" borderId="1" xfId="0" applyNumberFormat="1" applyFont="1" applyFill="1" applyBorder="1"/>
    <xf numFmtId="0" fontId="2" fillId="0" borderId="4" xfId="0" applyFont="1" applyBorder="1" applyAlignment="1">
      <alignment wrapText="1"/>
    </xf>
    <xf numFmtId="3" fontId="2" fillId="0" borderId="1" xfId="0" applyNumberFormat="1" applyFont="1" applyBorder="1"/>
    <xf numFmtId="0" fontId="2" fillId="6" borderId="4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wrapText="1"/>
    </xf>
    <xf numFmtId="3" fontId="2" fillId="5" borderId="1" xfId="0" applyNumberFormat="1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3" fontId="0" fillId="7" borderId="1" xfId="0" applyNumberFormat="1" applyFill="1" applyBorder="1"/>
    <xf numFmtId="3" fontId="18" fillId="0" borderId="1" xfId="0" applyNumberFormat="1" applyFont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7" fillId="8" borderId="1" xfId="0" applyNumberFormat="1" applyFont="1" applyFill="1" applyBorder="1"/>
    <xf numFmtId="0" fontId="2" fillId="2" borderId="1" xfId="0" applyFont="1" applyFill="1" applyBorder="1"/>
    <xf numFmtId="3" fontId="7" fillId="6" borderId="6" xfId="0" applyNumberFormat="1" applyFont="1" applyFill="1" applyBorder="1"/>
    <xf numFmtId="0" fontId="0" fillId="0" borderId="0" xfId="0" applyAlignment="1">
      <alignment horizontal="center" wrapText="1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/>
    </xf>
    <xf numFmtId="0" fontId="19" fillId="0" borderId="0" xfId="0" applyFont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Normal="100" workbookViewId="0">
      <pane ySplit="5" topLeftCell="A6" activePane="bottomLeft" state="frozen"/>
      <selection pane="bottomLeft" activeCell="N7" sqref="N7"/>
    </sheetView>
  </sheetViews>
  <sheetFormatPr defaultRowHeight="14.5" x14ac:dyDescent="0.35"/>
  <cols>
    <col min="2" max="2" width="13.26953125" style="66" customWidth="1"/>
    <col min="3" max="3" width="39.08984375" customWidth="1"/>
    <col min="4" max="4" width="14.81640625" customWidth="1"/>
    <col min="5" max="5" width="7.26953125" customWidth="1"/>
    <col min="6" max="8" width="8.7265625" bestFit="1" customWidth="1"/>
    <col min="9" max="9" width="7.26953125" customWidth="1"/>
    <col min="10" max="10" width="9.453125" customWidth="1"/>
  </cols>
  <sheetData>
    <row r="1" spans="1:13" ht="37.5" hidden="1" customHeight="1" x14ac:dyDescent="0.35">
      <c r="G1" s="101"/>
      <c r="H1" s="101"/>
    </row>
    <row r="2" spans="1:13" ht="20.25" hidden="1" customHeight="1" x14ac:dyDescent="0.35">
      <c r="G2" s="17"/>
      <c r="H2" s="17"/>
    </row>
    <row r="3" spans="1:13" ht="15.5" x14ac:dyDescent="0.35">
      <c r="A3" s="117" t="s">
        <v>102</v>
      </c>
      <c r="B3" s="9"/>
    </row>
    <row r="4" spans="1:13" x14ac:dyDescent="0.35">
      <c r="C4" s="1"/>
    </row>
    <row r="5" spans="1:13" s="1" customFormat="1" x14ac:dyDescent="0.35">
      <c r="A5" s="10"/>
      <c r="B5" s="67" t="s">
        <v>140</v>
      </c>
      <c r="C5" s="34" t="s">
        <v>100</v>
      </c>
      <c r="D5" s="118" t="s">
        <v>101</v>
      </c>
      <c r="E5" s="119">
        <v>2025</v>
      </c>
      <c r="F5" s="119">
        <v>2026</v>
      </c>
      <c r="G5" s="119">
        <v>2027</v>
      </c>
      <c r="H5" s="119">
        <v>2028</v>
      </c>
      <c r="I5" s="119">
        <v>2029</v>
      </c>
      <c r="J5" s="120" t="s">
        <v>95</v>
      </c>
    </row>
    <row r="6" spans="1:13" s="1" customFormat="1" x14ac:dyDescent="0.35">
      <c r="A6" s="102" t="s">
        <v>145</v>
      </c>
      <c r="B6" s="103"/>
      <c r="C6" s="103"/>
      <c r="D6" s="103"/>
      <c r="E6" s="103"/>
      <c r="F6" s="103"/>
      <c r="G6" s="103"/>
      <c r="H6" s="103"/>
      <c r="I6" s="103"/>
      <c r="J6" s="104"/>
    </row>
    <row r="7" spans="1:13" s="13" customFormat="1" ht="29" x14ac:dyDescent="0.35">
      <c r="A7" s="20" t="s">
        <v>137</v>
      </c>
      <c r="B7" s="82" t="s">
        <v>141</v>
      </c>
      <c r="C7" s="83" t="s">
        <v>105</v>
      </c>
      <c r="D7" s="31">
        <f>'AS Viljandi Veevärk'!E7</f>
        <v>97000</v>
      </c>
      <c r="E7" s="6"/>
      <c r="F7" s="6">
        <f>D7</f>
        <v>97000</v>
      </c>
      <c r="G7" s="6"/>
      <c r="H7" s="6"/>
      <c r="I7" s="6"/>
      <c r="J7" s="6"/>
    </row>
    <row r="8" spans="1:13" s="13" customFormat="1" x14ac:dyDescent="0.35">
      <c r="A8" s="15"/>
      <c r="B8" s="38"/>
      <c r="C8" s="36" t="s">
        <v>103</v>
      </c>
      <c r="D8" s="5">
        <f>D7</f>
        <v>97000</v>
      </c>
      <c r="E8" s="5"/>
      <c r="F8" s="5">
        <f>F7</f>
        <v>97000</v>
      </c>
      <c r="G8" s="5"/>
      <c r="H8" s="5"/>
      <c r="I8" s="5"/>
      <c r="J8" s="5"/>
    </row>
    <row r="9" spans="1:13" ht="29" x14ac:dyDescent="0.35">
      <c r="A9" s="7" t="s">
        <v>190</v>
      </c>
      <c r="B9" s="69" t="s">
        <v>142</v>
      </c>
      <c r="C9" s="35" t="s">
        <v>94</v>
      </c>
      <c r="D9" s="6">
        <v>31800</v>
      </c>
      <c r="E9" s="6">
        <f>D9</f>
        <v>31800</v>
      </c>
      <c r="F9" s="7"/>
      <c r="G9" s="7"/>
      <c r="H9" s="7"/>
      <c r="I9" s="7"/>
      <c r="J9" s="7"/>
      <c r="K9" s="3"/>
    </row>
    <row r="10" spans="1:13" x14ac:dyDescent="0.35">
      <c r="A10" s="2"/>
      <c r="B10" s="36"/>
      <c r="C10" s="36" t="s">
        <v>184</v>
      </c>
      <c r="D10" s="22">
        <f>D9</f>
        <v>31800</v>
      </c>
      <c r="E10" s="22">
        <f>D10</f>
        <v>31800</v>
      </c>
      <c r="F10" s="24"/>
      <c r="H10" s="24"/>
      <c r="I10" s="24"/>
      <c r="J10" s="24"/>
      <c r="K10" s="3"/>
      <c r="L10" s="3"/>
    </row>
    <row r="11" spans="1:13" s="1" customFormat="1" ht="43.5" x14ac:dyDescent="0.35">
      <c r="A11" s="99" t="s">
        <v>191</v>
      </c>
      <c r="B11" s="70" t="s">
        <v>142</v>
      </c>
      <c r="C11" s="35" t="s">
        <v>178</v>
      </c>
      <c r="D11" s="11">
        <f>'OÜ Ramsi VK'!E22</f>
        <v>925080</v>
      </c>
      <c r="E11" s="6">
        <v>518200</v>
      </c>
      <c r="F11" s="6">
        <f>D11-E11</f>
        <v>406880</v>
      </c>
      <c r="G11" s="6"/>
      <c r="H11" s="6"/>
      <c r="I11" s="20"/>
      <c r="J11" s="20"/>
    </row>
    <row r="12" spans="1:13" x14ac:dyDescent="0.35">
      <c r="A12" s="2"/>
      <c r="B12" s="36"/>
      <c r="C12" s="36" t="s">
        <v>184</v>
      </c>
      <c r="D12" s="5">
        <f>E12+F12</f>
        <v>925080</v>
      </c>
      <c r="E12" s="21">
        <f>E11</f>
        <v>518200</v>
      </c>
      <c r="F12" s="3">
        <f>F11</f>
        <v>406880</v>
      </c>
      <c r="G12" s="5"/>
      <c r="H12" s="5"/>
      <c r="I12" s="2"/>
      <c r="J12" s="2"/>
    </row>
    <row r="13" spans="1:13" ht="29" x14ac:dyDescent="0.35">
      <c r="A13" s="7" t="s">
        <v>109</v>
      </c>
      <c r="B13" s="69" t="s">
        <v>142</v>
      </c>
      <c r="C13" s="35" t="s">
        <v>93</v>
      </c>
      <c r="D13" s="6">
        <f>F13</f>
        <v>35000</v>
      </c>
      <c r="E13" s="18"/>
      <c r="F13" s="6">
        <v>35000</v>
      </c>
      <c r="G13" s="18"/>
      <c r="H13" s="18"/>
      <c r="I13" s="7"/>
      <c r="J13" s="7"/>
      <c r="L13" s="3"/>
    </row>
    <row r="14" spans="1:13" x14ac:dyDescent="0.35">
      <c r="A14" s="2"/>
      <c r="B14" s="36"/>
      <c r="C14" s="36" t="s">
        <v>184</v>
      </c>
      <c r="D14" s="5">
        <f>F14</f>
        <v>35000</v>
      </c>
      <c r="E14" s="22"/>
      <c r="F14" s="3">
        <v>35000</v>
      </c>
      <c r="G14" s="5"/>
      <c r="H14" s="5"/>
      <c r="I14" s="2"/>
      <c r="J14" s="2"/>
      <c r="L14" s="3"/>
    </row>
    <row r="15" spans="1:13" ht="29" x14ac:dyDescent="0.35">
      <c r="A15" s="7" t="s">
        <v>110</v>
      </c>
      <c r="B15" s="69" t="s">
        <v>142</v>
      </c>
      <c r="C15" s="35" t="s">
        <v>0</v>
      </c>
      <c r="D15" s="6">
        <f>'OÜ Ramsi VK'!E29</f>
        <v>285600</v>
      </c>
      <c r="E15" s="7"/>
      <c r="F15" s="6">
        <v>108120</v>
      </c>
      <c r="G15" s="6">
        <f>D15-F15</f>
        <v>177480</v>
      </c>
      <c r="H15" s="18"/>
      <c r="I15" s="7"/>
      <c r="J15" s="7"/>
      <c r="K15" s="12"/>
      <c r="L15" s="52"/>
      <c r="M15" s="12"/>
    </row>
    <row r="16" spans="1:13" ht="15.75" customHeight="1" x14ac:dyDescent="0.35">
      <c r="A16" s="2"/>
      <c r="B16" s="36"/>
      <c r="C16" s="36" t="s">
        <v>184</v>
      </c>
      <c r="D16" s="5">
        <f>F16+G16</f>
        <v>285600</v>
      </c>
      <c r="E16" s="2"/>
      <c r="F16" s="5">
        <f>F15</f>
        <v>108120</v>
      </c>
      <c r="G16" s="5">
        <f>G15</f>
        <v>177480</v>
      </c>
      <c r="H16" s="5"/>
      <c r="I16" s="2"/>
      <c r="J16" s="2"/>
      <c r="K16" s="3"/>
      <c r="L16" s="3"/>
      <c r="M16" s="3"/>
    </row>
    <row r="17" spans="1:13" ht="15.75" customHeight="1" x14ac:dyDescent="0.35">
      <c r="A17" s="7" t="s">
        <v>111</v>
      </c>
      <c r="B17" s="69" t="s">
        <v>142</v>
      </c>
      <c r="C17" s="37" t="s">
        <v>21</v>
      </c>
      <c r="D17" s="11">
        <f>G17</f>
        <v>45000</v>
      </c>
      <c r="E17" s="6"/>
      <c r="F17" s="18"/>
      <c r="G17" s="6">
        <v>45000</v>
      </c>
      <c r="H17" s="18"/>
      <c r="I17" s="7"/>
      <c r="J17" s="7"/>
      <c r="K17" s="3"/>
      <c r="L17" s="3"/>
      <c r="M17" s="3"/>
    </row>
    <row r="18" spans="1:13" ht="15.75" customHeight="1" x14ac:dyDescent="0.35">
      <c r="A18" s="2"/>
      <c r="B18" s="36"/>
      <c r="C18" s="36" t="s">
        <v>184</v>
      </c>
      <c r="D18" s="21">
        <f>G18</f>
        <v>45000</v>
      </c>
      <c r="E18" s="21"/>
      <c r="F18" s="21"/>
      <c r="G18" s="21">
        <v>45000</v>
      </c>
      <c r="H18" s="21"/>
      <c r="I18" s="23"/>
      <c r="J18" s="23"/>
      <c r="K18" s="3"/>
      <c r="L18" s="3"/>
      <c r="M18" s="3"/>
    </row>
    <row r="19" spans="1:13" ht="21" customHeight="1" x14ac:dyDescent="0.35">
      <c r="A19" s="7" t="s">
        <v>112</v>
      </c>
      <c r="B19" s="69" t="s">
        <v>142</v>
      </c>
      <c r="C19" s="35" t="s">
        <v>22</v>
      </c>
      <c r="D19" s="11">
        <f>'OÜ Ramsi VK'!E39</f>
        <v>1041100</v>
      </c>
      <c r="E19" s="6"/>
      <c r="F19" s="6"/>
      <c r="G19" s="6">
        <v>327520</v>
      </c>
      <c r="H19" s="6">
        <v>550000</v>
      </c>
      <c r="I19" s="25">
        <f>D19-G19-H19</f>
        <v>163580</v>
      </c>
      <c r="J19" s="25"/>
      <c r="K19" s="12"/>
      <c r="L19" s="52"/>
    </row>
    <row r="20" spans="1:13" s="13" customFormat="1" x14ac:dyDescent="0.35">
      <c r="A20" s="15"/>
      <c r="B20" s="38"/>
      <c r="C20" s="38" t="s">
        <v>184</v>
      </c>
      <c r="D20" s="16">
        <f>E20+F20+G20+H20+I20</f>
        <v>1041100</v>
      </c>
      <c r="E20" s="16"/>
      <c r="F20" s="16"/>
      <c r="G20" s="16">
        <f>G19</f>
        <v>327520</v>
      </c>
      <c r="H20" s="19">
        <v>550000</v>
      </c>
      <c r="I20" s="16">
        <f>I19</f>
        <v>163580</v>
      </c>
      <c r="J20" s="16"/>
      <c r="K20" s="19"/>
      <c r="L20" s="19"/>
    </row>
    <row r="21" spans="1:13" s="13" customFormat="1" ht="29" x14ac:dyDescent="0.35">
      <c r="A21" s="20" t="s">
        <v>138</v>
      </c>
      <c r="B21" s="68" t="s">
        <v>142</v>
      </c>
      <c r="C21" s="35" t="s">
        <v>92</v>
      </c>
      <c r="D21" s="11">
        <f>E21+I21+G21</f>
        <v>20000</v>
      </c>
      <c r="E21" s="6"/>
      <c r="F21" s="20"/>
      <c r="G21" s="6"/>
      <c r="H21" s="7"/>
      <c r="I21" s="6">
        <v>20000</v>
      </c>
      <c r="J21" s="20"/>
    </row>
    <row r="22" spans="1:13" s="13" customFormat="1" x14ac:dyDescent="0.35">
      <c r="A22" s="15"/>
      <c r="B22" s="38"/>
      <c r="C22" s="38" t="s">
        <v>184</v>
      </c>
      <c r="D22" s="16">
        <f>I22</f>
        <v>20000</v>
      </c>
      <c r="E22" s="16"/>
      <c r="G22" s="16"/>
      <c r="H22" s="16"/>
      <c r="I22" s="16">
        <v>20000</v>
      </c>
      <c r="J22" s="15"/>
    </row>
    <row r="23" spans="1:13" s="13" customFormat="1" ht="29" x14ac:dyDescent="0.35">
      <c r="A23" s="20" t="s">
        <v>139</v>
      </c>
      <c r="B23" s="68" t="s">
        <v>142</v>
      </c>
      <c r="C23" s="35" t="s">
        <v>91</v>
      </c>
      <c r="D23" s="11">
        <f>'OÜ Ramsi VK'!E47</f>
        <v>154900</v>
      </c>
      <c r="E23" s="6"/>
      <c r="F23" s="20"/>
      <c r="G23" s="6"/>
      <c r="H23" s="6"/>
      <c r="I23" s="6">
        <f>D23</f>
        <v>154900</v>
      </c>
      <c r="J23" s="20"/>
      <c r="K23" s="81"/>
    </row>
    <row r="24" spans="1:13" s="13" customFormat="1" x14ac:dyDescent="0.35">
      <c r="A24" s="15"/>
      <c r="B24" s="38"/>
      <c r="C24" s="38" t="s">
        <v>184</v>
      </c>
      <c r="D24" s="16">
        <f>D23</f>
        <v>154900</v>
      </c>
      <c r="E24" s="16"/>
      <c r="G24" s="16"/>
      <c r="H24" s="16"/>
      <c r="I24" s="16">
        <f>I23</f>
        <v>154900</v>
      </c>
      <c r="J24" s="15"/>
    </row>
    <row r="25" spans="1:13" s="13" customFormat="1" ht="29" x14ac:dyDescent="0.35">
      <c r="A25" s="20" t="s">
        <v>192</v>
      </c>
      <c r="B25" s="68" t="s">
        <v>143</v>
      </c>
      <c r="C25" s="35" t="s">
        <v>104</v>
      </c>
      <c r="D25" s="6">
        <f>'OÜ Põltsamaa Vesi'!E12</f>
        <v>811310</v>
      </c>
      <c r="E25" s="6"/>
      <c r="F25" s="6">
        <f>D25*0.45</f>
        <v>365089.5</v>
      </c>
      <c r="G25" s="6">
        <f>D25-F25</f>
        <v>446220.5</v>
      </c>
      <c r="H25" s="6"/>
      <c r="I25" s="6"/>
      <c r="J25" s="6"/>
    </row>
    <row r="26" spans="1:13" s="13" customFormat="1" x14ac:dyDescent="0.35">
      <c r="A26" s="15"/>
      <c r="B26" s="38"/>
      <c r="C26" s="86" t="s">
        <v>185</v>
      </c>
      <c r="D26" s="87">
        <f>SUM(E26:J26)</f>
        <v>405655</v>
      </c>
      <c r="E26" s="4"/>
      <c r="F26" s="87">
        <f>F25*0.5</f>
        <v>182544.75</v>
      </c>
      <c r="G26" s="87">
        <f>G25*0.5</f>
        <v>223110.25</v>
      </c>
      <c r="H26" s="4"/>
      <c r="I26" s="4"/>
      <c r="J26" s="4"/>
    </row>
    <row r="27" spans="1:13" s="13" customFormat="1" x14ac:dyDescent="0.35">
      <c r="A27" s="15"/>
      <c r="B27" s="38"/>
      <c r="C27" s="36" t="s">
        <v>182</v>
      </c>
      <c r="D27" s="5">
        <f>SUM(E27:J27)</f>
        <v>405655</v>
      </c>
      <c r="E27" s="5"/>
      <c r="F27" s="5">
        <f>F25-F26</f>
        <v>182544.75</v>
      </c>
      <c r="G27" s="5">
        <f>G25-G26</f>
        <v>223110.25</v>
      </c>
      <c r="H27" s="5"/>
      <c r="I27" s="5"/>
      <c r="J27" s="5"/>
    </row>
    <row r="29" spans="1:13" s="13" customFormat="1" x14ac:dyDescent="0.35">
      <c r="A29" s="105" t="s">
        <v>144</v>
      </c>
      <c r="B29" s="106"/>
      <c r="C29" s="106"/>
      <c r="D29" s="106"/>
      <c r="E29" s="106"/>
      <c r="F29" s="106"/>
      <c r="G29" s="106"/>
      <c r="H29" s="106"/>
      <c r="I29" s="106"/>
      <c r="J29" s="107"/>
    </row>
    <row r="30" spans="1:13" s="13" customFormat="1" ht="29" x14ac:dyDescent="0.35">
      <c r="A30" s="20" t="s">
        <v>113</v>
      </c>
      <c r="B30" s="68" t="s">
        <v>141</v>
      </c>
      <c r="C30" s="39" t="s">
        <v>107</v>
      </c>
      <c r="D30" s="32">
        <f>'AS Viljandi Veevärk'!E37</f>
        <v>649000</v>
      </c>
      <c r="E30" s="18"/>
      <c r="F30" s="18"/>
      <c r="G30" s="18"/>
      <c r="H30" s="18"/>
      <c r="I30" s="18"/>
      <c r="J30" s="32">
        <f>D30</f>
        <v>649000</v>
      </c>
    </row>
    <row r="31" spans="1:13" s="13" customFormat="1" x14ac:dyDescent="0.35">
      <c r="A31" s="15"/>
      <c r="B31" s="38"/>
      <c r="C31" s="38" t="s">
        <v>117</v>
      </c>
      <c r="D31" s="5">
        <f>D30</f>
        <v>649000</v>
      </c>
      <c r="E31" s="5"/>
      <c r="F31" s="5"/>
      <c r="G31" s="5"/>
      <c r="H31" s="5"/>
      <c r="I31" s="5"/>
      <c r="J31" s="5">
        <f>J30</f>
        <v>649000</v>
      </c>
    </row>
    <row r="32" spans="1:13" s="13" customFormat="1" ht="29" x14ac:dyDescent="0.35">
      <c r="A32" s="20" t="s">
        <v>114</v>
      </c>
      <c r="B32" s="68" t="s">
        <v>141</v>
      </c>
      <c r="C32" s="35" t="s">
        <v>106</v>
      </c>
      <c r="D32" s="6">
        <f>'AS Viljandi Veevärk'!E19</f>
        <v>712840</v>
      </c>
      <c r="E32" s="6"/>
      <c r="F32" s="6"/>
      <c r="G32" s="6"/>
      <c r="H32" s="6"/>
      <c r="I32" s="6"/>
      <c r="J32" s="6">
        <f>D32</f>
        <v>712840</v>
      </c>
    </row>
    <row r="33" spans="1:10" s="13" customFormat="1" ht="29" x14ac:dyDescent="0.35">
      <c r="A33" s="15"/>
      <c r="B33" s="38"/>
      <c r="C33" s="38" t="s">
        <v>186</v>
      </c>
      <c r="D33" s="16">
        <f>J33</f>
        <v>356420</v>
      </c>
      <c r="E33" s="16"/>
      <c r="F33" s="16"/>
      <c r="G33" s="16"/>
      <c r="H33" s="16"/>
      <c r="I33" s="16"/>
      <c r="J33" s="16">
        <f>J32*0.5</f>
        <v>356420</v>
      </c>
    </row>
    <row r="34" spans="1:10" s="13" customFormat="1" x14ac:dyDescent="0.35">
      <c r="A34" s="15"/>
      <c r="B34" s="38"/>
      <c r="C34" s="38" t="s">
        <v>118</v>
      </c>
      <c r="D34" s="16">
        <f>J34</f>
        <v>356420</v>
      </c>
      <c r="E34" s="16"/>
      <c r="F34" s="16"/>
      <c r="G34" s="16"/>
      <c r="H34" s="16"/>
      <c r="I34" s="16"/>
      <c r="J34" s="16">
        <f>J32-J33</f>
        <v>356420</v>
      </c>
    </row>
    <row r="35" spans="1:10" s="13" customFormat="1" ht="29" x14ac:dyDescent="0.35">
      <c r="A35" s="20" t="s">
        <v>115</v>
      </c>
      <c r="B35" s="68" t="s">
        <v>141</v>
      </c>
      <c r="C35" s="39" t="s">
        <v>108</v>
      </c>
      <c r="D35" s="32">
        <f>'AS Viljandi Veevärk'!E26</f>
        <v>711100</v>
      </c>
      <c r="E35" s="32"/>
      <c r="F35" s="32"/>
      <c r="G35" s="32"/>
      <c r="H35" s="32"/>
      <c r="I35" s="32"/>
      <c r="J35" s="32">
        <f>D35</f>
        <v>711100</v>
      </c>
    </row>
    <row r="36" spans="1:10" s="13" customFormat="1" ht="29" x14ac:dyDescent="0.35">
      <c r="A36" s="15"/>
      <c r="B36" s="38"/>
      <c r="C36" s="86" t="s">
        <v>186</v>
      </c>
      <c r="D36" s="87">
        <f>D35*0.5</f>
        <v>355550</v>
      </c>
      <c r="E36" s="87"/>
      <c r="F36" s="87"/>
      <c r="G36" s="87"/>
      <c r="H36" s="87"/>
      <c r="I36" s="87"/>
      <c r="J36" s="87">
        <f>J35*0.5</f>
        <v>355550</v>
      </c>
    </row>
    <row r="37" spans="1:10" s="13" customFormat="1" x14ac:dyDescent="0.35">
      <c r="A37" s="15"/>
      <c r="B37" s="38"/>
      <c r="C37" s="36" t="s">
        <v>183</v>
      </c>
      <c r="D37" s="5">
        <f>D35-D36</f>
        <v>355550</v>
      </c>
      <c r="E37" s="5"/>
      <c r="F37" s="5"/>
      <c r="G37" s="5"/>
      <c r="H37" s="5"/>
      <c r="I37" s="5"/>
      <c r="J37" s="5">
        <f>J35-J36</f>
        <v>355550</v>
      </c>
    </row>
    <row r="38" spans="1:10" s="13" customFormat="1" ht="43.5" x14ac:dyDescent="0.35">
      <c r="A38" s="20" t="s">
        <v>116</v>
      </c>
      <c r="B38" s="68" t="s">
        <v>142</v>
      </c>
      <c r="C38" s="39" t="s">
        <v>119</v>
      </c>
      <c r="D38" s="32">
        <f>'OÜ Ramsi VK'!E52</f>
        <v>61129.999999999993</v>
      </c>
      <c r="E38" s="18"/>
      <c r="F38" s="18"/>
      <c r="G38" s="18"/>
      <c r="H38" s="18"/>
      <c r="I38" s="18"/>
      <c r="J38" s="32">
        <f>D38</f>
        <v>61129.999999999993</v>
      </c>
    </row>
    <row r="39" spans="1:10" s="13" customFormat="1" x14ac:dyDescent="0.35">
      <c r="A39" s="15"/>
      <c r="B39" s="38"/>
      <c r="C39" s="36" t="s">
        <v>184</v>
      </c>
      <c r="D39" s="5">
        <f>D38</f>
        <v>61129.999999999993</v>
      </c>
      <c r="E39" s="5"/>
      <c r="F39" s="5"/>
      <c r="G39" s="5"/>
      <c r="H39" s="5"/>
      <c r="I39" s="5"/>
      <c r="J39" s="5">
        <f>J38</f>
        <v>61129.999999999993</v>
      </c>
    </row>
    <row r="40" spans="1:10" s="33" customFormat="1" x14ac:dyDescent="0.35">
      <c r="A40" s="46" t="s">
        <v>120</v>
      </c>
      <c r="B40" s="71" t="s">
        <v>142</v>
      </c>
      <c r="C40" s="40" t="s">
        <v>96</v>
      </c>
      <c r="D40" s="32">
        <f>'OÜ Ramsi VK'!E61</f>
        <v>362750</v>
      </c>
      <c r="E40" s="32"/>
      <c r="F40" s="32"/>
      <c r="G40" s="32"/>
      <c r="H40" s="32"/>
      <c r="I40" s="32"/>
      <c r="J40" s="32">
        <f>D40</f>
        <v>362750</v>
      </c>
    </row>
    <row r="41" spans="1:10" s="13" customFormat="1" x14ac:dyDescent="0.35">
      <c r="A41" s="47"/>
      <c r="B41" s="72"/>
      <c r="C41" s="41" t="s">
        <v>184</v>
      </c>
      <c r="D41" s="5">
        <f>D40</f>
        <v>362750</v>
      </c>
      <c r="E41" s="5"/>
      <c r="F41" s="5"/>
      <c r="G41" s="5"/>
      <c r="H41" s="5"/>
      <c r="I41" s="5"/>
      <c r="J41" s="5">
        <f>J40</f>
        <v>362750</v>
      </c>
    </row>
    <row r="42" spans="1:10" s="33" customFormat="1" x14ac:dyDescent="0.35">
      <c r="A42" s="46" t="s">
        <v>121</v>
      </c>
      <c r="B42" s="71" t="s">
        <v>142</v>
      </c>
      <c r="C42" s="40" t="s">
        <v>97</v>
      </c>
      <c r="D42" s="32">
        <f>'OÜ Ramsi VK'!E86</f>
        <v>283900</v>
      </c>
      <c r="E42" s="32"/>
      <c r="F42" s="32"/>
      <c r="G42" s="32"/>
      <c r="H42" s="32"/>
      <c r="I42" s="32"/>
      <c r="J42" s="32">
        <f t="shared" ref="J42:J46" si="0">D42</f>
        <v>283900</v>
      </c>
    </row>
    <row r="43" spans="1:10" s="13" customFormat="1" x14ac:dyDescent="0.35">
      <c r="A43" s="47"/>
      <c r="B43" s="72"/>
      <c r="C43" s="41" t="s">
        <v>184</v>
      </c>
      <c r="D43" s="5">
        <f>D42</f>
        <v>283900</v>
      </c>
      <c r="E43" s="5"/>
      <c r="F43" s="5"/>
      <c r="G43" s="5"/>
      <c r="H43" s="5"/>
      <c r="I43" s="5"/>
      <c r="J43" s="5">
        <f>J42</f>
        <v>283900</v>
      </c>
    </row>
    <row r="44" spans="1:10" s="33" customFormat="1" x14ac:dyDescent="0.35">
      <c r="A44" s="46" t="s">
        <v>122</v>
      </c>
      <c r="B44" s="71" t="s">
        <v>142</v>
      </c>
      <c r="C44" s="40" t="s">
        <v>98</v>
      </c>
      <c r="D44" s="32">
        <f>'OÜ Ramsi VK'!E70</f>
        <v>279550</v>
      </c>
      <c r="E44" s="32"/>
      <c r="F44" s="32"/>
      <c r="G44" s="32"/>
      <c r="H44" s="32"/>
      <c r="I44" s="32"/>
      <c r="J44" s="32">
        <f t="shared" si="0"/>
        <v>279550</v>
      </c>
    </row>
    <row r="45" spans="1:10" s="13" customFormat="1" x14ac:dyDescent="0.35">
      <c r="A45" s="47"/>
      <c r="B45" s="72"/>
      <c r="C45" s="41" t="s">
        <v>184</v>
      </c>
      <c r="D45" s="5">
        <f>D44</f>
        <v>279550</v>
      </c>
      <c r="E45" s="5"/>
      <c r="F45" s="5"/>
      <c r="G45" s="5"/>
      <c r="H45" s="5"/>
      <c r="I45" s="5"/>
      <c r="J45" s="5">
        <f>J44</f>
        <v>279550</v>
      </c>
    </row>
    <row r="46" spans="1:10" s="33" customFormat="1" ht="29" x14ac:dyDescent="0.35">
      <c r="A46" s="46" t="s">
        <v>123</v>
      </c>
      <c r="B46" s="71" t="s">
        <v>142</v>
      </c>
      <c r="C46" s="39" t="s">
        <v>99</v>
      </c>
      <c r="D46" s="32">
        <f>'OÜ Ramsi VK'!E77</f>
        <v>127950</v>
      </c>
      <c r="E46" s="32"/>
      <c r="F46" s="32"/>
      <c r="G46" s="32"/>
      <c r="H46" s="32"/>
      <c r="I46" s="32"/>
      <c r="J46" s="32">
        <f t="shared" si="0"/>
        <v>127950</v>
      </c>
    </row>
    <row r="47" spans="1:10" s="33" customFormat="1" x14ac:dyDescent="0.35">
      <c r="A47" s="47"/>
      <c r="B47" s="72"/>
      <c r="C47" s="86" t="s">
        <v>184</v>
      </c>
      <c r="D47" s="87">
        <f>D46</f>
        <v>127950</v>
      </c>
      <c r="E47" s="58"/>
      <c r="F47" s="58"/>
      <c r="G47" s="58"/>
      <c r="H47" s="58"/>
      <c r="I47" s="58"/>
      <c r="J47" s="87">
        <f>J46</f>
        <v>127950</v>
      </c>
    </row>
    <row r="48" spans="1:10" s="13" customFormat="1" ht="29" x14ac:dyDescent="0.35">
      <c r="A48" s="20" t="s">
        <v>124</v>
      </c>
      <c r="B48" s="68" t="s">
        <v>143</v>
      </c>
      <c r="C48" s="35" t="s">
        <v>125</v>
      </c>
      <c r="D48" s="6">
        <f>'OÜ Põltsamaa Vesi'!E20</f>
        <v>257719.99999999997</v>
      </c>
      <c r="E48" s="6"/>
      <c r="F48" s="6"/>
      <c r="G48" s="6"/>
      <c r="H48" s="6"/>
      <c r="I48" s="6"/>
      <c r="J48" s="6">
        <f>D48</f>
        <v>257719.99999999997</v>
      </c>
    </row>
    <row r="49" spans="1:10" s="13" customFormat="1" x14ac:dyDescent="0.35">
      <c r="A49" s="15"/>
      <c r="B49" s="38"/>
      <c r="C49" s="36" t="s">
        <v>185</v>
      </c>
      <c r="D49" s="5">
        <f>SUM(E49:J49)</f>
        <v>128859.99999999999</v>
      </c>
      <c r="E49" s="5"/>
      <c r="F49" s="5"/>
      <c r="G49" s="5"/>
      <c r="H49" s="5"/>
      <c r="I49" s="5"/>
      <c r="J49" s="5">
        <f>J48*0.5</f>
        <v>128859.99999999999</v>
      </c>
    </row>
    <row r="50" spans="1:10" s="13" customFormat="1" x14ac:dyDescent="0.35">
      <c r="A50" s="15"/>
      <c r="B50" s="38"/>
      <c r="C50" s="36" t="s">
        <v>182</v>
      </c>
      <c r="D50" s="5">
        <f>SUM(E50:J50)</f>
        <v>128859.99999999999</v>
      </c>
      <c r="E50" s="5"/>
      <c r="F50" s="5"/>
      <c r="G50" s="5"/>
      <c r="H50" s="5"/>
      <c r="I50" s="5"/>
      <c r="J50" s="5">
        <f>J48*0.5</f>
        <v>128859.99999999999</v>
      </c>
    </row>
    <row r="51" spans="1:10" s="13" customFormat="1" x14ac:dyDescent="0.35">
      <c r="A51" s="15"/>
      <c r="B51" s="38"/>
      <c r="C51" s="36"/>
      <c r="D51" s="5"/>
      <c r="E51" s="5"/>
      <c r="F51" s="5"/>
      <c r="G51" s="5"/>
      <c r="H51" s="5"/>
      <c r="I51" s="5"/>
      <c r="J51" s="5"/>
    </row>
    <row r="52" spans="1:10" ht="29" x14ac:dyDescent="0.35">
      <c r="A52" s="49"/>
      <c r="B52" s="73"/>
      <c r="C52" s="44" t="s">
        <v>193</v>
      </c>
      <c r="D52" s="50">
        <f>D32+D7+D30+D35</f>
        <v>2169940</v>
      </c>
      <c r="E52" s="50">
        <f>E32+E7+E30</f>
        <v>0</v>
      </c>
      <c r="F52" s="50">
        <f>F32+F7+F30</f>
        <v>97000</v>
      </c>
      <c r="G52" s="50">
        <f>G32+G7+G30</f>
        <v>0</v>
      </c>
      <c r="H52" s="50">
        <f>H32+H7+H30</f>
        <v>0</v>
      </c>
      <c r="I52" s="50">
        <f>I32+I7+I30</f>
        <v>0</v>
      </c>
      <c r="J52" s="51">
        <f>J32+J7+J30+J35</f>
        <v>2072940</v>
      </c>
    </row>
    <row r="53" spans="1:10" x14ac:dyDescent="0.35">
      <c r="A53" s="49"/>
      <c r="B53" s="73"/>
      <c r="C53" s="88" t="s">
        <v>90</v>
      </c>
      <c r="D53" s="91">
        <f>SUM(E53:J53)</f>
        <v>711970</v>
      </c>
      <c r="E53" s="91">
        <f>E33+E36</f>
        <v>0</v>
      </c>
      <c r="F53" s="91">
        <f t="shared" ref="F53:J53" si="1">F33+F36</f>
        <v>0</v>
      </c>
      <c r="G53" s="91">
        <f t="shared" si="1"/>
        <v>0</v>
      </c>
      <c r="H53" s="91">
        <f t="shared" si="1"/>
        <v>0</v>
      </c>
      <c r="I53" s="91">
        <f t="shared" si="1"/>
        <v>0</v>
      </c>
      <c r="J53" s="92">
        <f t="shared" si="1"/>
        <v>711970</v>
      </c>
    </row>
    <row r="54" spans="1:10" x14ac:dyDescent="0.35">
      <c r="A54" s="49"/>
      <c r="B54" s="73"/>
      <c r="C54" s="88" t="s">
        <v>187</v>
      </c>
      <c r="D54" s="91">
        <f>SUM(E54:J54)</f>
        <v>1360970</v>
      </c>
      <c r="E54" s="91">
        <f>E31+E34+E37</f>
        <v>0</v>
      </c>
      <c r="F54" s="91">
        <f t="shared" ref="F54:J54" si="2">F31+F34+F37</f>
        <v>0</v>
      </c>
      <c r="G54" s="91">
        <f t="shared" si="2"/>
        <v>0</v>
      </c>
      <c r="H54" s="91">
        <f t="shared" si="2"/>
        <v>0</v>
      </c>
      <c r="I54" s="91">
        <f t="shared" si="2"/>
        <v>0</v>
      </c>
      <c r="J54" s="92">
        <f t="shared" si="2"/>
        <v>1360970</v>
      </c>
    </row>
    <row r="55" spans="1:10" x14ac:dyDescent="0.35">
      <c r="A55" s="49"/>
      <c r="B55" s="73"/>
      <c r="C55" s="88" t="s">
        <v>141</v>
      </c>
      <c r="D55" s="91">
        <f>D8</f>
        <v>97000</v>
      </c>
      <c r="E55" s="91">
        <f>E8</f>
        <v>0</v>
      </c>
      <c r="F55" s="91">
        <f>F8</f>
        <v>97000</v>
      </c>
      <c r="G55" s="89">
        <v>0</v>
      </c>
      <c r="H55" s="89">
        <v>0</v>
      </c>
      <c r="I55" s="89">
        <v>0</v>
      </c>
      <c r="J55" s="90">
        <v>0</v>
      </c>
    </row>
    <row r="56" spans="1:10" ht="29" x14ac:dyDescent="0.35">
      <c r="A56" s="48"/>
      <c r="B56" s="43"/>
      <c r="C56" s="42" t="s">
        <v>194</v>
      </c>
      <c r="D56" s="26">
        <f>(D9+D17+D13+D11+D15+D19+D21+D23+D38+D40+D42+D44+D46)</f>
        <v>3653760</v>
      </c>
      <c r="E56" s="26">
        <f>E9+E17+E11+E15+E19</f>
        <v>550000</v>
      </c>
      <c r="F56" s="26">
        <f>F11+F13+F15</f>
        <v>550000</v>
      </c>
      <c r="G56" s="26">
        <f>G17+G11+G15+G19+G21</f>
        <v>550000</v>
      </c>
      <c r="H56" s="26">
        <f>H9+H11+H13+H15+H17+H19+H21+H23</f>
        <v>550000</v>
      </c>
      <c r="I56" s="26">
        <f>I19+I21+I23</f>
        <v>338480</v>
      </c>
      <c r="J56" s="28">
        <f>J38+J40+J42+J44+J46</f>
        <v>1115280</v>
      </c>
    </row>
    <row r="57" spans="1:10" x14ac:dyDescent="0.35">
      <c r="A57" s="48"/>
      <c r="B57" s="43"/>
      <c r="C57" s="43" t="s">
        <v>90</v>
      </c>
      <c r="D57" s="27">
        <f>D10+D18+D14+D12+D16+D20+D22+D24+D38+D40+D42+D44+D46</f>
        <v>3653760</v>
      </c>
      <c r="E57" s="27">
        <f>E10+E18+E12+E16+E20</f>
        <v>550000</v>
      </c>
      <c r="F57" s="27">
        <f>F10+F12+F14+F16+F18+F20</f>
        <v>550000</v>
      </c>
      <c r="G57" s="27">
        <f>G18+G12+G16+G20+G22</f>
        <v>550000</v>
      </c>
      <c r="H57" s="27">
        <f>H10+H12+H14+H16+H18+H20+H22+H24</f>
        <v>550000</v>
      </c>
      <c r="I57" s="27">
        <f>I56</f>
        <v>338480</v>
      </c>
      <c r="J57" s="29">
        <f>J39+J41+J43+J45+J47</f>
        <v>1115280</v>
      </c>
    </row>
    <row r="58" spans="1:10" ht="29" x14ac:dyDescent="0.35">
      <c r="A58" s="30"/>
      <c r="B58" s="74"/>
      <c r="C58" s="45" t="s">
        <v>195</v>
      </c>
      <c r="D58" s="85">
        <f t="shared" ref="D58:J58" si="3">D25+D48</f>
        <v>1069030</v>
      </c>
      <c r="E58" s="85">
        <f t="shared" si="3"/>
        <v>0</v>
      </c>
      <c r="F58" s="85">
        <f t="shared" si="3"/>
        <v>365089.5</v>
      </c>
      <c r="G58" s="85">
        <f t="shared" si="3"/>
        <v>446220.5</v>
      </c>
      <c r="H58" s="85">
        <f t="shared" si="3"/>
        <v>0</v>
      </c>
      <c r="I58" s="85">
        <f t="shared" si="3"/>
        <v>0</v>
      </c>
      <c r="J58" s="84">
        <f t="shared" si="3"/>
        <v>257719.99999999997</v>
      </c>
    </row>
    <row r="59" spans="1:10" x14ac:dyDescent="0.35">
      <c r="A59" s="30"/>
      <c r="B59" s="74"/>
      <c r="C59" s="93" t="s">
        <v>185</v>
      </c>
      <c r="D59" s="94">
        <f>SUM(E59:J59)</f>
        <v>534515</v>
      </c>
      <c r="E59" s="94">
        <f>E26+E49</f>
        <v>0</v>
      </c>
      <c r="F59" s="94">
        <f t="shared" ref="F59:J59" si="4">F26+F49</f>
        <v>182544.75</v>
      </c>
      <c r="G59" s="94">
        <f t="shared" si="4"/>
        <v>223110.25</v>
      </c>
      <c r="H59" s="94">
        <f t="shared" si="4"/>
        <v>0</v>
      </c>
      <c r="I59" s="94">
        <f t="shared" si="4"/>
        <v>0</v>
      </c>
      <c r="J59" s="29">
        <f t="shared" si="4"/>
        <v>128859.99999999999</v>
      </c>
    </row>
    <row r="60" spans="1:10" x14ac:dyDescent="0.35">
      <c r="A60" s="30"/>
      <c r="B60" s="74"/>
      <c r="C60" s="93" t="s">
        <v>182</v>
      </c>
      <c r="D60" s="94">
        <f>SUM(E60:J60)</f>
        <v>534515</v>
      </c>
      <c r="E60" s="94">
        <f>E50+E27</f>
        <v>0</v>
      </c>
      <c r="F60" s="94">
        <f t="shared" ref="F60:J60" si="5">F50+F27</f>
        <v>182544.75</v>
      </c>
      <c r="G60" s="94">
        <f t="shared" si="5"/>
        <v>223110.25</v>
      </c>
      <c r="H60" s="94">
        <f t="shared" si="5"/>
        <v>0</v>
      </c>
      <c r="I60" s="94">
        <f t="shared" si="5"/>
        <v>0</v>
      </c>
      <c r="J60" s="29">
        <f t="shared" si="5"/>
        <v>128859.99999999999</v>
      </c>
    </row>
    <row r="61" spans="1:10" x14ac:dyDescent="0.35">
      <c r="A61" s="96" t="s">
        <v>12</v>
      </c>
      <c r="B61" s="97"/>
      <c r="C61" s="96"/>
      <c r="D61" s="98">
        <f t="shared" ref="D61:J61" si="6">D56+D52+D58</f>
        <v>6892730</v>
      </c>
      <c r="E61" s="98">
        <f t="shared" si="6"/>
        <v>550000</v>
      </c>
      <c r="F61" s="98">
        <f>F56+F52+F58</f>
        <v>1012089.5</v>
      </c>
      <c r="G61" s="98">
        <f t="shared" si="6"/>
        <v>996220.5</v>
      </c>
      <c r="H61" s="98">
        <f t="shared" si="6"/>
        <v>550000</v>
      </c>
      <c r="I61" s="98">
        <f t="shared" si="6"/>
        <v>338480</v>
      </c>
      <c r="J61" s="98">
        <f t="shared" si="6"/>
        <v>3445940</v>
      </c>
    </row>
    <row r="62" spans="1:10" x14ac:dyDescent="0.35">
      <c r="C62" s="1"/>
    </row>
    <row r="63" spans="1:10" x14ac:dyDescent="0.35">
      <c r="C63" t="s">
        <v>141</v>
      </c>
      <c r="D63" s="3">
        <f>'AS Viljandi Veevärk'!E39</f>
        <v>2169940</v>
      </c>
    </row>
    <row r="64" spans="1:10" x14ac:dyDescent="0.35">
      <c r="C64" t="s">
        <v>142</v>
      </c>
      <c r="D64" s="3">
        <f>'OÜ Ramsi VK'!E88</f>
        <v>3653760</v>
      </c>
    </row>
    <row r="65" spans="3:4" x14ac:dyDescent="0.35">
      <c r="C65" t="s">
        <v>143</v>
      </c>
      <c r="D65" s="3">
        <f>'OÜ Põltsamaa Vesi'!E22</f>
        <v>1069030</v>
      </c>
    </row>
    <row r="66" spans="3:4" x14ac:dyDescent="0.35">
      <c r="C66" s="53" t="s">
        <v>189</v>
      </c>
      <c r="D66" s="62">
        <f>SUM(D63:D65)</f>
        <v>6892730</v>
      </c>
    </row>
    <row r="67" spans="3:4" x14ac:dyDescent="0.35">
      <c r="C67" t="s">
        <v>196</v>
      </c>
      <c r="D67" s="3">
        <f>E61+F61+G61+H61+I61</f>
        <v>3446790</v>
      </c>
    </row>
    <row r="68" spans="3:4" x14ac:dyDescent="0.35">
      <c r="C68" t="s">
        <v>197</v>
      </c>
      <c r="D68" s="3">
        <f>J61</f>
        <v>3445940</v>
      </c>
    </row>
  </sheetData>
  <mergeCells count="3">
    <mergeCell ref="G1:H1"/>
    <mergeCell ref="A6:J6"/>
    <mergeCell ref="A29:J29"/>
  </mergeCells>
  <pageMargins left="0.7" right="0.7" top="0.75" bottom="0.75" header="0.3" footer="0.3"/>
  <pageSetup paperSize="9" orientation="portrait" horizontalDpi="4294967293" r:id="rId1"/>
  <ignoredErrors>
    <ignoredError sqref="G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098C-41B6-42F7-BCF7-544DBF644B0F}">
  <dimension ref="A1:E39"/>
  <sheetViews>
    <sheetView workbookViewId="0">
      <selection activeCell="K36" sqref="K36"/>
    </sheetView>
  </sheetViews>
  <sheetFormatPr defaultRowHeight="14.5" x14ac:dyDescent="0.35"/>
  <cols>
    <col min="1" max="1" width="69.81640625" customWidth="1"/>
    <col min="2" max="2" width="6.08984375" customWidth="1"/>
    <col min="3" max="3" width="10.36328125" bestFit="1" customWidth="1"/>
    <col min="4" max="4" width="15.36328125" customWidth="1"/>
    <col min="5" max="5" width="10.08984375" customWidth="1"/>
  </cols>
  <sheetData>
    <row r="1" spans="1:5" x14ac:dyDescent="0.35">
      <c r="A1" s="53" t="s">
        <v>136</v>
      </c>
    </row>
    <row r="3" spans="1:5" x14ac:dyDescent="0.35">
      <c r="A3" s="2"/>
      <c r="B3" s="108" t="s">
        <v>26</v>
      </c>
      <c r="C3" s="108" t="s">
        <v>134</v>
      </c>
      <c r="D3" s="108" t="s">
        <v>132</v>
      </c>
      <c r="E3" s="108" t="s">
        <v>133</v>
      </c>
    </row>
    <row r="4" spans="1:5" x14ac:dyDescent="0.35">
      <c r="A4" s="56" t="s">
        <v>126</v>
      </c>
      <c r="B4" s="56"/>
      <c r="C4" s="55"/>
      <c r="D4" s="2"/>
      <c r="E4" s="2"/>
    </row>
    <row r="5" spans="1:5" x14ac:dyDescent="0.35">
      <c r="A5" s="54" t="s">
        <v>23</v>
      </c>
      <c r="B5" s="54" t="s">
        <v>25</v>
      </c>
      <c r="C5" s="59">
        <v>843</v>
      </c>
      <c r="D5" s="5">
        <v>100</v>
      </c>
      <c r="E5" s="60">
        <f>C5*D5</f>
        <v>84300</v>
      </c>
    </row>
    <row r="6" spans="1:5" ht="15" customHeight="1" x14ac:dyDescent="0.35">
      <c r="A6" s="54" t="s">
        <v>131</v>
      </c>
      <c r="B6" s="54" t="s">
        <v>30</v>
      </c>
      <c r="C6" s="59"/>
      <c r="D6" s="5"/>
      <c r="E6" s="60">
        <f>ROUNDUP(E5*0.15/100,0)*100</f>
        <v>12700</v>
      </c>
    </row>
    <row r="7" spans="1:5" s="1" customFormat="1" x14ac:dyDescent="0.35">
      <c r="A7" s="57" t="s">
        <v>54</v>
      </c>
      <c r="B7" s="57"/>
      <c r="C7" s="61"/>
      <c r="D7" s="4"/>
      <c r="E7" s="58">
        <f>SUM(E5:E6)</f>
        <v>97000</v>
      </c>
    </row>
    <row r="8" spans="1:5" x14ac:dyDescent="0.35">
      <c r="C8" s="3"/>
      <c r="D8" s="3"/>
      <c r="E8" s="3"/>
    </row>
    <row r="9" spans="1:5" x14ac:dyDescent="0.35">
      <c r="A9" s="57" t="s">
        <v>6</v>
      </c>
      <c r="B9" s="57"/>
      <c r="C9" s="5"/>
      <c r="D9" s="5"/>
      <c r="E9" s="5"/>
    </row>
    <row r="10" spans="1:5" x14ac:dyDescent="0.35">
      <c r="A10" s="54" t="s">
        <v>23</v>
      </c>
      <c r="B10" s="54" t="s">
        <v>25</v>
      </c>
      <c r="C10" s="5">
        <v>2673</v>
      </c>
      <c r="D10" s="5">
        <v>100</v>
      </c>
      <c r="E10" s="5">
        <f>C10*D10</f>
        <v>267300</v>
      </c>
    </row>
    <row r="11" spans="1:5" x14ac:dyDescent="0.35">
      <c r="A11" s="54" t="s">
        <v>24</v>
      </c>
      <c r="B11" s="54" t="s">
        <v>25</v>
      </c>
      <c r="C11" s="5">
        <v>72</v>
      </c>
      <c r="D11" s="5">
        <v>100</v>
      </c>
      <c r="E11" s="5">
        <f>C11*D11</f>
        <v>7200</v>
      </c>
    </row>
    <row r="12" spans="1:5" x14ac:dyDescent="0.35">
      <c r="A12" s="54" t="s">
        <v>19</v>
      </c>
      <c r="B12" s="54" t="s">
        <v>25</v>
      </c>
      <c r="C12" s="5">
        <v>1477</v>
      </c>
      <c r="D12" s="5">
        <v>140</v>
      </c>
      <c r="E12" s="5">
        <f t="shared" ref="E12:E16" si="0">C12*D12</f>
        <v>206780</v>
      </c>
    </row>
    <row r="13" spans="1:5" x14ac:dyDescent="0.35">
      <c r="A13" s="54" t="s">
        <v>28</v>
      </c>
      <c r="B13" s="54" t="s">
        <v>25</v>
      </c>
      <c r="C13" s="5">
        <v>462</v>
      </c>
      <c r="D13" s="5">
        <v>120</v>
      </c>
      <c r="E13" s="5">
        <f t="shared" si="0"/>
        <v>55440</v>
      </c>
    </row>
    <row r="14" spans="1:5" x14ac:dyDescent="0.35">
      <c r="A14" s="54" t="s">
        <v>27</v>
      </c>
      <c r="B14" s="54" t="s">
        <v>25</v>
      </c>
      <c r="C14" s="5">
        <v>183</v>
      </c>
      <c r="D14" s="5">
        <v>140</v>
      </c>
      <c r="E14" s="5">
        <f t="shared" si="0"/>
        <v>25620</v>
      </c>
    </row>
    <row r="15" spans="1:5" x14ac:dyDescent="0.35">
      <c r="A15" s="54" t="s">
        <v>127</v>
      </c>
      <c r="B15" s="54" t="s">
        <v>30</v>
      </c>
      <c r="C15" s="5">
        <v>1</v>
      </c>
      <c r="D15" s="5">
        <v>35000</v>
      </c>
      <c r="E15" s="5">
        <f t="shared" si="0"/>
        <v>35000</v>
      </c>
    </row>
    <row r="16" spans="1:5" x14ac:dyDescent="0.35">
      <c r="A16" s="54" t="s">
        <v>128</v>
      </c>
      <c r="B16" s="54" t="s">
        <v>30</v>
      </c>
      <c r="C16" s="5">
        <v>9</v>
      </c>
      <c r="D16" s="5">
        <v>2500</v>
      </c>
      <c r="E16" s="5">
        <f t="shared" si="0"/>
        <v>22500</v>
      </c>
    </row>
    <row r="17" spans="1:5" x14ac:dyDescent="0.35">
      <c r="A17" s="2" t="s">
        <v>5</v>
      </c>
      <c r="B17" s="2"/>
      <c r="C17" s="5"/>
      <c r="D17" s="5"/>
      <c r="E17" s="60">
        <f>SUM(E10:E16)</f>
        <v>619840</v>
      </c>
    </row>
    <row r="18" spans="1:5" x14ac:dyDescent="0.35">
      <c r="A18" s="2" t="s">
        <v>131</v>
      </c>
      <c r="B18" s="2" t="s">
        <v>30</v>
      </c>
      <c r="C18" s="5"/>
      <c r="D18" s="5"/>
      <c r="E18" s="60">
        <f>ROUNDUP((E17*0.15)/100,0)*100</f>
        <v>93000</v>
      </c>
    </row>
    <row r="19" spans="1:5" x14ac:dyDescent="0.35">
      <c r="A19" s="56" t="s">
        <v>12</v>
      </c>
      <c r="B19" s="2"/>
      <c r="C19" s="5"/>
      <c r="D19" s="5"/>
      <c r="E19" s="58">
        <f>SUM(E17:E18)</f>
        <v>712840</v>
      </c>
    </row>
    <row r="20" spans="1:5" x14ac:dyDescent="0.35">
      <c r="A20" s="2"/>
      <c r="B20" s="2"/>
      <c r="C20" s="5"/>
      <c r="D20" s="5"/>
      <c r="E20" s="58"/>
    </row>
    <row r="21" spans="1:5" x14ac:dyDescent="0.35">
      <c r="A21" s="56" t="s">
        <v>129</v>
      </c>
      <c r="B21" s="56"/>
      <c r="C21" s="5"/>
      <c r="D21" s="5"/>
      <c r="E21" s="58"/>
    </row>
    <row r="22" spans="1:5" x14ac:dyDescent="0.35">
      <c r="A22" s="2" t="s">
        <v>23</v>
      </c>
      <c r="B22" s="2" t="s">
        <v>25</v>
      </c>
      <c r="C22" s="5">
        <v>2585</v>
      </c>
      <c r="D22" s="5">
        <v>100</v>
      </c>
      <c r="E22" s="5">
        <f>C22*D22</f>
        <v>258500</v>
      </c>
    </row>
    <row r="23" spans="1:5" x14ac:dyDescent="0.35">
      <c r="A23" s="2" t="s">
        <v>19</v>
      </c>
      <c r="B23" s="2" t="s">
        <v>25</v>
      </c>
      <c r="C23" s="5">
        <v>2570</v>
      </c>
      <c r="D23" s="5">
        <v>140</v>
      </c>
      <c r="E23" s="5">
        <f>C23*D23</f>
        <v>359800</v>
      </c>
    </row>
    <row r="24" spans="1:5" x14ac:dyDescent="0.35">
      <c r="A24" s="2" t="s">
        <v>5</v>
      </c>
      <c r="B24" s="2"/>
      <c r="C24" s="5"/>
      <c r="D24" s="5"/>
      <c r="E24" s="60">
        <f>SUM(E22:E23)</f>
        <v>618300</v>
      </c>
    </row>
    <row r="25" spans="1:5" x14ac:dyDescent="0.35">
      <c r="A25" s="2" t="s">
        <v>131</v>
      </c>
      <c r="B25" s="2" t="s">
        <v>30</v>
      </c>
      <c r="C25" s="5"/>
      <c r="D25" s="5"/>
      <c r="E25" s="60">
        <f>ROUNDUP((E24*0.15)/100,0)*100</f>
        <v>92800</v>
      </c>
    </row>
    <row r="26" spans="1:5" x14ac:dyDescent="0.35">
      <c r="A26" s="2" t="s">
        <v>54</v>
      </c>
      <c r="B26" s="2"/>
      <c r="C26" s="5"/>
      <c r="D26" s="5"/>
      <c r="E26" s="58">
        <f>SUM(E24:E25)</f>
        <v>711100</v>
      </c>
    </row>
    <row r="27" spans="1:5" x14ac:dyDescent="0.35">
      <c r="A27" s="2"/>
      <c r="B27" s="2"/>
      <c r="C27" s="5"/>
      <c r="D27" s="5"/>
      <c r="E27" s="5"/>
    </row>
    <row r="28" spans="1:5" x14ac:dyDescent="0.35">
      <c r="A28" s="57" t="s">
        <v>198</v>
      </c>
      <c r="B28" s="57"/>
      <c r="C28" s="5"/>
      <c r="D28" s="5"/>
      <c r="E28" s="5"/>
    </row>
    <row r="29" spans="1:5" x14ac:dyDescent="0.35">
      <c r="A29" s="54" t="s">
        <v>23</v>
      </c>
      <c r="B29" s="54" t="s">
        <v>25</v>
      </c>
      <c r="C29" s="5">
        <v>1410</v>
      </c>
      <c r="D29" s="5">
        <v>100</v>
      </c>
      <c r="E29" s="5">
        <f>C29*D29</f>
        <v>141000</v>
      </c>
    </row>
    <row r="30" spans="1:5" x14ac:dyDescent="0.35">
      <c r="A30" s="54" t="s">
        <v>19</v>
      </c>
      <c r="B30" s="54" t="s">
        <v>25</v>
      </c>
      <c r="C30" s="5">
        <v>950</v>
      </c>
      <c r="D30" s="5">
        <v>140</v>
      </c>
      <c r="E30" s="5">
        <f t="shared" ref="E30:E34" si="1">C30*D30</f>
        <v>133000</v>
      </c>
    </row>
    <row r="31" spans="1:5" x14ac:dyDescent="0.35">
      <c r="A31" s="54" t="s">
        <v>28</v>
      </c>
      <c r="B31" s="54" t="s">
        <v>25</v>
      </c>
      <c r="C31" s="5">
        <v>515</v>
      </c>
      <c r="D31" s="5">
        <v>120</v>
      </c>
      <c r="E31" s="5">
        <f t="shared" si="1"/>
        <v>61800</v>
      </c>
    </row>
    <row r="32" spans="1:5" x14ac:dyDescent="0.35">
      <c r="A32" s="54" t="s">
        <v>80</v>
      </c>
      <c r="B32" s="54" t="s">
        <v>30</v>
      </c>
      <c r="C32" s="5">
        <v>1</v>
      </c>
      <c r="D32" s="5">
        <v>35000</v>
      </c>
      <c r="E32" s="5">
        <f t="shared" si="1"/>
        <v>35000</v>
      </c>
    </row>
    <row r="33" spans="1:5" x14ac:dyDescent="0.35">
      <c r="A33" s="54" t="s">
        <v>128</v>
      </c>
      <c r="B33" s="54" t="s">
        <v>30</v>
      </c>
      <c r="C33" s="5">
        <v>6</v>
      </c>
      <c r="D33" s="5">
        <v>2500</v>
      </c>
      <c r="E33" s="5">
        <f t="shared" si="1"/>
        <v>15000</v>
      </c>
    </row>
    <row r="34" spans="1:5" x14ac:dyDescent="0.35">
      <c r="A34" s="54" t="s">
        <v>130</v>
      </c>
      <c r="B34" s="54" t="s">
        <v>25</v>
      </c>
      <c r="C34" s="5">
        <v>1190</v>
      </c>
      <c r="D34" s="5">
        <v>150</v>
      </c>
      <c r="E34" s="5">
        <f t="shared" si="1"/>
        <v>178500</v>
      </c>
    </row>
    <row r="35" spans="1:5" x14ac:dyDescent="0.35">
      <c r="A35" s="2" t="s">
        <v>5</v>
      </c>
      <c r="B35" s="2"/>
      <c r="C35" s="5"/>
      <c r="D35" s="5"/>
      <c r="E35" s="60">
        <f>SUM(E29:E34)</f>
        <v>564300</v>
      </c>
    </row>
    <row r="36" spans="1:5" x14ac:dyDescent="0.35">
      <c r="A36" s="2" t="s">
        <v>131</v>
      </c>
      <c r="B36" s="2" t="s">
        <v>30</v>
      </c>
      <c r="C36" s="2"/>
      <c r="D36" s="2"/>
      <c r="E36" s="5">
        <f>ROUNDUP((E35*0.15)/100,0)*100</f>
        <v>84700</v>
      </c>
    </row>
    <row r="37" spans="1:5" s="53" customFormat="1" x14ac:dyDescent="0.35">
      <c r="A37" s="56" t="s">
        <v>12</v>
      </c>
      <c r="B37" s="56"/>
      <c r="C37" s="56"/>
      <c r="D37" s="56"/>
      <c r="E37" s="58">
        <f>SUM(E35:E36)</f>
        <v>649000</v>
      </c>
    </row>
    <row r="39" spans="1:5" x14ac:dyDescent="0.35">
      <c r="A39" s="64" t="s">
        <v>135</v>
      </c>
      <c r="B39" s="65"/>
      <c r="C39" s="65"/>
      <c r="D39" s="65"/>
      <c r="E39" s="63">
        <f>E7+E19+E26+E37</f>
        <v>2169940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49D7-D9DC-437B-B08E-0C5B448DD638}">
  <dimension ref="A1:G88"/>
  <sheetViews>
    <sheetView topLeftCell="A73" workbookViewId="0">
      <selection activeCell="H5" sqref="H5"/>
    </sheetView>
  </sheetViews>
  <sheetFormatPr defaultRowHeight="14.5" x14ac:dyDescent="0.35"/>
  <cols>
    <col min="1" max="1" width="48.08984375" customWidth="1"/>
    <col min="2" max="2" width="8.90625" style="111" customWidth="1"/>
    <col min="3" max="3" width="10.36328125" bestFit="1" customWidth="1"/>
    <col min="4" max="4" width="15.6328125" style="3" customWidth="1"/>
    <col min="5" max="5" width="9.81640625" style="3" customWidth="1"/>
    <col min="6" max="6" width="8.7265625" style="3"/>
  </cols>
  <sheetData>
    <row r="1" spans="1:6" x14ac:dyDescent="0.35">
      <c r="A1" s="53" t="s">
        <v>163</v>
      </c>
    </row>
    <row r="2" spans="1:6" x14ac:dyDescent="0.35">
      <c r="A2" s="53"/>
    </row>
    <row r="3" spans="1:6" x14ac:dyDescent="0.35">
      <c r="A3" s="56" t="s">
        <v>188</v>
      </c>
      <c r="B3" s="108" t="s">
        <v>26</v>
      </c>
      <c r="C3" s="108" t="s">
        <v>134</v>
      </c>
      <c r="D3" s="110" t="s">
        <v>132</v>
      </c>
      <c r="E3" s="110" t="s">
        <v>133</v>
      </c>
    </row>
    <row r="4" spans="1:6" x14ac:dyDescent="0.35">
      <c r="A4" s="57" t="s">
        <v>55</v>
      </c>
      <c r="B4" s="112"/>
      <c r="C4" s="5"/>
      <c r="D4" s="5"/>
      <c r="E4" s="5"/>
    </row>
    <row r="5" spans="1:6" x14ac:dyDescent="0.35">
      <c r="A5" s="54" t="s">
        <v>170</v>
      </c>
      <c r="B5" s="112"/>
      <c r="C5" s="5"/>
      <c r="D5" s="5"/>
      <c r="E5" s="5">
        <f>SUM(E6:E12)</f>
        <v>106200</v>
      </c>
    </row>
    <row r="6" spans="1:6" x14ac:dyDescent="0.35">
      <c r="A6" s="80" t="s">
        <v>177</v>
      </c>
      <c r="B6" s="112"/>
      <c r="C6" s="5">
        <v>1</v>
      </c>
      <c r="D6" s="95">
        <v>5000</v>
      </c>
      <c r="E6" s="95">
        <f t="shared" ref="E6:E12" si="0">C6*D6</f>
        <v>5000</v>
      </c>
    </row>
    <row r="7" spans="1:6" s="79" customFormat="1" ht="26" x14ac:dyDescent="0.35">
      <c r="A7" s="76" t="s">
        <v>173</v>
      </c>
      <c r="B7" s="113"/>
      <c r="C7" s="77">
        <v>1</v>
      </c>
      <c r="D7" s="95">
        <v>12000</v>
      </c>
      <c r="E7" s="95">
        <f t="shared" si="0"/>
        <v>12000</v>
      </c>
      <c r="F7" s="78"/>
    </row>
    <row r="8" spans="1:6" s="79" customFormat="1" x14ac:dyDescent="0.35">
      <c r="A8" s="76" t="s">
        <v>174</v>
      </c>
      <c r="B8" s="114" t="s">
        <v>30</v>
      </c>
      <c r="C8" s="77">
        <v>1</v>
      </c>
      <c r="D8" s="95">
        <v>5000</v>
      </c>
      <c r="E8" s="95">
        <f t="shared" si="0"/>
        <v>5000</v>
      </c>
      <c r="F8" s="78"/>
    </row>
    <row r="9" spans="1:6" s="79" customFormat="1" x14ac:dyDescent="0.35">
      <c r="A9" s="76" t="s">
        <v>175</v>
      </c>
      <c r="B9" s="114" t="s">
        <v>30</v>
      </c>
      <c r="C9" s="77">
        <v>1</v>
      </c>
      <c r="D9" s="95">
        <v>20000</v>
      </c>
      <c r="E9" s="95">
        <f t="shared" si="0"/>
        <v>20000</v>
      </c>
      <c r="F9" s="78"/>
    </row>
    <row r="10" spans="1:6" s="79" customFormat="1" x14ac:dyDescent="0.35">
      <c r="A10" s="76" t="s">
        <v>176</v>
      </c>
      <c r="B10" s="114" t="s">
        <v>30</v>
      </c>
      <c r="C10" s="77">
        <v>1</v>
      </c>
      <c r="D10" s="95">
        <v>20000</v>
      </c>
      <c r="E10" s="95">
        <f t="shared" si="0"/>
        <v>20000</v>
      </c>
      <c r="F10" s="78"/>
    </row>
    <row r="11" spans="1:6" s="79" customFormat="1" ht="26" x14ac:dyDescent="0.35">
      <c r="A11" s="76" t="s">
        <v>181</v>
      </c>
      <c r="B11" s="114" t="s">
        <v>30</v>
      </c>
      <c r="C11" s="77">
        <v>1</v>
      </c>
      <c r="D11" s="95">
        <v>20000</v>
      </c>
      <c r="E11" s="95">
        <f t="shared" si="0"/>
        <v>20000</v>
      </c>
      <c r="F11" s="78"/>
    </row>
    <row r="12" spans="1:6" x14ac:dyDescent="0.35">
      <c r="A12" s="76" t="s">
        <v>171</v>
      </c>
      <c r="B12" s="114" t="s">
        <v>172</v>
      </c>
      <c r="C12" s="77">
        <v>605</v>
      </c>
      <c r="D12" s="77">
        <v>40</v>
      </c>
      <c r="E12" s="5">
        <f t="shared" si="0"/>
        <v>24200</v>
      </c>
    </row>
    <row r="13" spans="1:6" x14ac:dyDescent="0.35">
      <c r="A13" s="54" t="s">
        <v>23</v>
      </c>
      <c r="B13" s="115" t="s">
        <v>25</v>
      </c>
      <c r="C13" s="5">
        <v>510</v>
      </c>
      <c r="D13" s="5">
        <v>100</v>
      </c>
      <c r="E13" s="5">
        <f>C13*D13</f>
        <v>51000</v>
      </c>
    </row>
    <row r="14" spans="1:6" x14ac:dyDescent="0.35">
      <c r="A14" s="54" t="s">
        <v>24</v>
      </c>
      <c r="B14" s="115" t="s">
        <v>25</v>
      </c>
      <c r="C14" s="5">
        <v>2352</v>
      </c>
      <c r="D14" s="5">
        <v>100</v>
      </c>
      <c r="E14" s="5">
        <f>C14*D14</f>
        <v>235200</v>
      </c>
    </row>
    <row r="15" spans="1:6" x14ac:dyDescent="0.35">
      <c r="A15" s="54" t="s">
        <v>179</v>
      </c>
      <c r="B15" s="115" t="s">
        <v>30</v>
      </c>
      <c r="C15" s="5">
        <v>56</v>
      </c>
      <c r="D15" s="5">
        <v>500</v>
      </c>
      <c r="E15" s="5">
        <f>C15*D15</f>
        <v>28000</v>
      </c>
    </row>
    <row r="16" spans="1:6" x14ac:dyDescent="0.35">
      <c r="A16" s="54" t="s">
        <v>19</v>
      </c>
      <c r="B16" s="115" t="s">
        <v>25</v>
      </c>
      <c r="C16" s="5">
        <v>375</v>
      </c>
      <c r="D16" s="5">
        <v>140</v>
      </c>
      <c r="E16" s="5">
        <f t="shared" ref="E16:E18" si="1">C16*D16</f>
        <v>52500</v>
      </c>
    </row>
    <row r="17" spans="1:7" x14ac:dyDescent="0.35">
      <c r="A17" s="54" t="s">
        <v>180</v>
      </c>
      <c r="B17" s="115" t="s">
        <v>30</v>
      </c>
      <c r="C17" s="5">
        <v>55</v>
      </c>
      <c r="D17" s="5">
        <v>500</v>
      </c>
      <c r="E17" s="5">
        <f t="shared" si="1"/>
        <v>27500</v>
      </c>
    </row>
    <row r="18" spans="1:7" x14ac:dyDescent="0.35">
      <c r="A18" s="54" t="s">
        <v>28</v>
      </c>
      <c r="B18" s="115" t="s">
        <v>25</v>
      </c>
      <c r="C18" s="5">
        <v>470</v>
      </c>
      <c r="D18" s="5">
        <v>100</v>
      </c>
      <c r="E18" s="5">
        <f t="shared" si="1"/>
        <v>47000</v>
      </c>
    </row>
    <row r="19" spans="1:7" x14ac:dyDescent="0.35">
      <c r="A19" s="54" t="s">
        <v>27</v>
      </c>
      <c r="B19" s="115" t="s">
        <v>25</v>
      </c>
      <c r="C19" s="5">
        <v>2097</v>
      </c>
      <c r="D19" s="5">
        <v>140</v>
      </c>
      <c r="E19" s="5">
        <f>C19*D19</f>
        <v>293580</v>
      </c>
    </row>
    <row r="20" spans="1:7" x14ac:dyDescent="0.35">
      <c r="A20" s="2" t="s">
        <v>5</v>
      </c>
      <c r="B20" s="108"/>
      <c r="C20" s="5"/>
      <c r="D20" s="5"/>
      <c r="E20" s="60">
        <f>SUM(E13:E19)+E5</f>
        <v>840980</v>
      </c>
    </row>
    <row r="21" spans="1:7" ht="29" x14ac:dyDescent="0.35">
      <c r="A21" s="8" t="s">
        <v>162</v>
      </c>
      <c r="B21" s="108" t="s">
        <v>30</v>
      </c>
      <c r="C21" s="5">
        <v>1</v>
      </c>
      <c r="D21" s="5"/>
      <c r="E21" s="60">
        <f>ROUNDUP((E20*0.1)/100,0)*100</f>
        <v>84100</v>
      </c>
    </row>
    <row r="22" spans="1:7" x14ac:dyDescent="0.35">
      <c r="A22" s="56" t="s">
        <v>12</v>
      </c>
      <c r="B22" s="108"/>
      <c r="C22" s="5"/>
      <c r="D22" s="5"/>
      <c r="E22" s="58">
        <f>SUM(E20:E21)</f>
        <v>925080</v>
      </c>
      <c r="G22" s="3"/>
    </row>
    <row r="24" spans="1:7" x14ac:dyDescent="0.35">
      <c r="A24" s="57" t="s">
        <v>56</v>
      </c>
      <c r="B24" s="112"/>
      <c r="C24" s="5"/>
      <c r="D24" s="5"/>
      <c r="E24" s="5"/>
    </row>
    <row r="25" spans="1:7" x14ac:dyDescent="0.35">
      <c r="A25" s="54" t="s">
        <v>24</v>
      </c>
      <c r="B25" s="115" t="s">
        <v>25</v>
      </c>
      <c r="C25" s="5">
        <v>720</v>
      </c>
      <c r="D25" s="5">
        <v>100</v>
      </c>
      <c r="E25" s="5">
        <f>C25*D25</f>
        <v>72000</v>
      </c>
    </row>
    <row r="26" spans="1:7" x14ac:dyDescent="0.35">
      <c r="A26" s="54" t="s">
        <v>27</v>
      </c>
      <c r="B26" s="115" t="s">
        <v>25</v>
      </c>
      <c r="C26" s="5">
        <v>1340</v>
      </c>
      <c r="D26" s="5">
        <v>140</v>
      </c>
      <c r="E26" s="5">
        <f t="shared" ref="E26" si="2">C26*D26</f>
        <v>187600</v>
      </c>
    </row>
    <row r="27" spans="1:7" x14ac:dyDescent="0.35">
      <c r="A27" s="2" t="s">
        <v>5</v>
      </c>
      <c r="B27" s="108"/>
      <c r="C27" s="5"/>
      <c r="D27" s="5"/>
      <c r="E27" s="60">
        <f>SUM(E25:E26)</f>
        <v>259600</v>
      </c>
    </row>
    <row r="28" spans="1:7" ht="29" x14ac:dyDescent="0.35">
      <c r="A28" s="8" t="s">
        <v>162</v>
      </c>
      <c r="B28" s="108" t="s">
        <v>30</v>
      </c>
      <c r="C28" s="5"/>
      <c r="D28" s="5"/>
      <c r="E28" s="60">
        <f>ROUNDUP((E27*0.1)/100,0)*100</f>
        <v>26000</v>
      </c>
    </row>
    <row r="29" spans="1:7" x14ac:dyDescent="0.35">
      <c r="A29" s="56" t="s">
        <v>12</v>
      </c>
      <c r="B29" s="108"/>
      <c r="C29" s="5"/>
      <c r="D29" s="5"/>
      <c r="E29" s="58">
        <f>SUM(E27:E28)</f>
        <v>285600</v>
      </c>
      <c r="G29" s="3"/>
    </row>
    <row r="31" spans="1:7" x14ac:dyDescent="0.35">
      <c r="A31" s="57" t="s">
        <v>146</v>
      </c>
      <c r="B31" s="112"/>
      <c r="C31" s="5"/>
      <c r="D31" s="5"/>
      <c r="E31" s="5"/>
    </row>
    <row r="32" spans="1:7" x14ac:dyDescent="0.35">
      <c r="A32" s="54" t="s">
        <v>23</v>
      </c>
      <c r="B32" s="115" t="s">
        <v>25</v>
      </c>
      <c r="C32" s="5">
        <v>1470</v>
      </c>
      <c r="D32" s="5">
        <v>100</v>
      </c>
      <c r="E32" s="5">
        <f>C32*D32</f>
        <v>147000</v>
      </c>
    </row>
    <row r="33" spans="1:7" x14ac:dyDescent="0.35">
      <c r="A33" s="54" t="s">
        <v>24</v>
      </c>
      <c r="B33" s="115" t="s">
        <v>25</v>
      </c>
      <c r="C33" s="5">
        <v>990</v>
      </c>
      <c r="D33" s="5">
        <v>100</v>
      </c>
      <c r="E33" s="5">
        <f>C33*D33</f>
        <v>99000</v>
      </c>
    </row>
    <row r="34" spans="1:7" x14ac:dyDescent="0.35">
      <c r="A34" s="54" t="s">
        <v>19</v>
      </c>
      <c r="B34" s="115" t="s">
        <v>25</v>
      </c>
      <c r="C34" s="5">
        <v>2400</v>
      </c>
      <c r="D34" s="5">
        <v>140</v>
      </c>
      <c r="E34" s="5">
        <f t="shared" ref="E34:E36" si="3">C34*D34</f>
        <v>336000</v>
      </c>
    </row>
    <row r="35" spans="1:7" x14ac:dyDescent="0.35">
      <c r="A35" s="54" t="s">
        <v>28</v>
      </c>
      <c r="B35" s="115" t="s">
        <v>25</v>
      </c>
      <c r="C35" s="5">
        <v>2745</v>
      </c>
      <c r="D35" s="5">
        <v>120</v>
      </c>
      <c r="E35" s="5">
        <f t="shared" si="3"/>
        <v>329400</v>
      </c>
    </row>
    <row r="36" spans="1:7" x14ac:dyDescent="0.35">
      <c r="A36" s="54" t="s">
        <v>80</v>
      </c>
      <c r="B36" s="115" t="s">
        <v>30</v>
      </c>
      <c r="C36" s="5">
        <v>1</v>
      </c>
      <c r="D36" s="5">
        <v>35000</v>
      </c>
      <c r="E36" s="5">
        <f t="shared" si="3"/>
        <v>35000</v>
      </c>
    </row>
    <row r="37" spans="1:7" x14ac:dyDescent="0.35">
      <c r="A37" s="2" t="s">
        <v>5</v>
      </c>
      <c r="B37" s="108"/>
      <c r="C37" s="5"/>
      <c r="D37" s="5"/>
      <c r="E37" s="60">
        <f>SUM(E32:E36)</f>
        <v>946400</v>
      </c>
    </row>
    <row r="38" spans="1:7" ht="29" x14ac:dyDescent="0.35">
      <c r="A38" s="8" t="s">
        <v>162</v>
      </c>
      <c r="B38" s="108" t="s">
        <v>30</v>
      </c>
      <c r="C38" s="5"/>
      <c r="D38" s="5"/>
      <c r="E38" s="60">
        <f>ROUNDUP((E37*0.1)/100,0)*100</f>
        <v>94700</v>
      </c>
    </row>
    <row r="39" spans="1:7" x14ac:dyDescent="0.35">
      <c r="A39" s="56" t="s">
        <v>12</v>
      </c>
      <c r="B39" s="108"/>
      <c r="C39" s="5"/>
      <c r="D39" s="5"/>
      <c r="E39" s="58">
        <f>SUM(E37:E38)</f>
        <v>1041100</v>
      </c>
      <c r="G39" s="3"/>
    </row>
    <row r="41" spans="1:7" x14ac:dyDescent="0.35">
      <c r="A41" s="57" t="s">
        <v>147</v>
      </c>
      <c r="B41" s="112"/>
      <c r="C41" s="5"/>
      <c r="D41" s="5"/>
      <c r="E41" s="5"/>
    </row>
    <row r="42" spans="1:7" x14ac:dyDescent="0.35">
      <c r="A42" s="54" t="s">
        <v>148</v>
      </c>
      <c r="B42" s="115" t="s">
        <v>30</v>
      </c>
      <c r="C42" s="5">
        <v>1</v>
      </c>
      <c r="D42" s="5">
        <v>20000</v>
      </c>
      <c r="E42" s="5">
        <f>C42*D42</f>
        <v>20000</v>
      </c>
    </row>
    <row r="43" spans="1:7" x14ac:dyDescent="0.35">
      <c r="A43" s="54" t="s">
        <v>24</v>
      </c>
      <c r="B43" s="115" t="s">
        <v>25</v>
      </c>
      <c r="C43" s="5">
        <v>410</v>
      </c>
      <c r="D43" s="5">
        <v>100</v>
      </c>
      <c r="E43" s="5">
        <f>C43*D43</f>
        <v>41000</v>
      </c>
    </row>
    <row r="44" spans="1:7" x14ac:dyDescent="0.35">
      <c r="A44" s="54" t="s">
        <v>27</v>
      </c>
      <c r="B44" s="115" t="s">
        <v>25</v>
      </c>
      <c r="C44" s="5">
        <v>570</v>
      </c>
      <c r="D44" s="5">
        <v>140</v>
      </c>
      <c r="E44" s="5">
        <f t="shared" ref="E44" si="4">C44*D44</f>
        <v>79800</v>
      </c>
    </row>
    <row r="45" spans="1:7" x14ac:dyDescent="0.35">
      <c r="A45" s="2" t="s">
        <v>5</v>
      </c>
      <c r="B45" s="108"/>
      <c r="C45" s="5"/>
      <c r="D45" s="5"/>
      <c r="E45" s="60">
        <f>SUM(E42:E44)</f>
        <v>140800</v>
      </c>
    </row>
    <row r="46" spans="1:7" ht="29" x14ac:dyDescent="0.35">
      <c r="A46" s="8" t="s">
        <v>162</v>
      </c>
      <c r="B46" s="108" t="s">
        <v>30</v>
      </c>
      <c r="C46" s="5"/>
      <c r="D46" s="5"/>
      <c r="E46" s="60">
        <f>ROUNDUP((E45*0.1)/100,0)*100</f>
        <v>14100</v>
      </c>
    </row>
    <row r="47" spans="1:7" x14ac:dyDescent="0.35">
      <c r="A47" s="56" t="s">
        <v>12</v>
      </c>
      <c r="B47" s="108"/>
      <c r="C47" s="5"/>
      <c r="D47" s="5"/>
      <c r="E47" s="58">
        <f>SUM(E45:E46)</f>
        <v>154900</v>
      </c>
      <c r="G47" s="3"/>
    </row>
    <row r="49" spans="1:5" x14ac:dyDescent="0.35">
      <c r="A49" s="109" t="s">
        <v>149</v>
      </c>
      <c r="B49" s="108"/>
      <c r="C49" s="2"/>
      <c r="D49" s="5"/>
      <c r="E49" s="5"/>
    </row>
    <row r="50" spans="1:5" x14ac:dyDescent="0.35">
      <c r="A50" s="75" t="s">
        <v>27</v>
      </c>
      <c r="B50" s="108" t="s">
        <v>25</v>
      </c>
      <c r="C50" s="2">
        <v>330</v>
      </c>
      <c r="D50" s="5">
        <v>140</v>
      </c>
      <c r="E50" s="5">
        <f>C50*D50*1.15</f>
        <v>53129.999999999993</v>
      </c>
    </row>
    <row r="51" spans="1:5" ht="29" x14ac:dyDescent="0.35">
      <c r="A51" s="8" t="s">
        <v>131</v>
      </c>
      <c r="B51" s="108" t="s">
        <v>30</v>
      </c>
      <c r="C51" s="5"/>
      <c r="D51" s="5"/>
      <c r="E51" s="60">
        <f>ROUNDUP((E50*0.15)/100,0)*100</f>
        <v>8000</v>
      </c>
    </row>
    <row r="52" spans="1:5" x14ac:dyDescent="0.35">
      <c r="A52" s="56" t="s">
        <v>12</v>
      </c>
      <c r="B52" s="108"/>
      <c r="C52" s="5"/>
      <c r="D52" s="5"/>
      <c r="E52" s="58">
        <f>SUM(E50:E51)</f>
        <v>61129.999999999993</v>
      </c>
    </row>
    <row r="54" spans="1:5" x14ac:dyDescent="0.35">
      <c r="A54" s="56" t="s">
        <v>150</v>
      </c>
      <c r="B54" s="108"/>
      <c r="C54" s="2"/>
      <c r="D54" s="5"/>
      <c r="E54" s="5"/>
    </row>
    <row r="55" spans="1:5" x14ac:dyDescent="0.35">
      <c r="A55" s="2" t="s">
        <v>151</v>
      </c>
      <c r="B55" s="108" t="s">
        <v>25</v>
      </c>
      <c r="C55" s="2">
        <f>1055+645</f>
        <v>1700</v>
      </c>
      <c r="D55" s="5">
        <v>100</v>
      </c>
      <c r="E55" s="5">
        <f>C55*D55</f>
        <v>170000</v>
      </c>
    </row>
    <row r="56" spans="1:5" x14ac:dyDescent="0.35">
      <c r="A56" s="2" t="s">
        <v>152</v>
      </c>
      <c r="B56" s="108" t="s">
        <v>25</v>
      </c>
      <c r="C56" s="2">
        <v>680</v>
      </c>
      <c r="D56" s="5">
        <v>140</v>
      </c>
      <c r="E56" s="5">
        <f>C56*D56</f>
        <v>95200</v>
      </c>
    </row>
    <row r="57" spans="1:5" x14ac:dyDescent="0.35">
      <c r="A57" s="2" t="s">
        <v>153</v>
      </c>
      <c r="B57" s="108" t="s">
        <v>25</v>
      </c>
      <c r="C57" s="2">
        <v>170</v>
      </c>
      <c r="D57" s="5">
        <v>100</v>
      </c>
      <c r="E57" s="5">
        <f>C57*D57</f>
        <v>17000</v>
      </c>
    </row>
    <row r="58" spans="1:5" x14ac:dyDescent="0.35">
      <c r="A58" s="2" t="s">
        <v>154</v>
      </c>
      <c r="B58" s="108" t="s">
        <v>25</v>
      </c>
      <c r="C58" s="2">
        <v>255</v>
      </c>
      <c r="D58" s="5">
        <v>130</v>
      </c>
      <c r="E58" s="5">
        <f>C58*D58</f>
        <v>33150</v>
      </c>
    </row>
    <row r="59" spans="1:5" x14ac:dyDescent="0.35">
      <c r="A59" s="2" t="s">
        <v>5</v>
      </c>
      <c r="B59" s="108"/>
      <c r="C59" s="2"/>
      <c r="D59" s="5"/>
      <c r="E59" s="5">
        <f>SUM(E55:E58)</f>
        <v>315350</v>
      </c>
    </row>
    <row r="60" spans="1:5" ht="29" x14ac:dyDescent="0.35">
      <c r="A60" s="8" t="s">
        <v>131</v>
      </c>
      <c r="B60" s="108" t="s">
        <v>30</v>
      </c>
      <c r="C60" s="5"/>
      <c r="D60" s="5"/>
      <c r="E60" s="60">
        <f>ROUNDUP((E59*0.15)/100,0)*100</f>
        <v>47400</v>
      </c>
    </row>
    <row r="61" spans="1:5" x14ac:dyDescent="0.35">
      <c r="A61" s="56" t="s">
        <v>12</v>
      </c>
      <c r="B61" s="108"/>
      <c r="C61" s="5"/>
      <c r="D61" s="5"/>
      <c r="E61" s="58">
        <f>SUM(E59:E60)</f>
        <v>362750</v>
      </c>
    </row>
    <row r="63" spans="1:5" x14ac:dyDescent="0.35">
      <c r="A63" s="56" t="s">
        <v>155</v>
      </c>
      <c r="B63" s="108"/>
      <c r="C63" s="2"/>
      <c r="D63" s="5"/>
      <c r="E63" s="5"/>
    </row>
    <row r="64" spans="1:5" x14ac:dyDescent="0.35">
      <c r="A64" s="2" t="s">
        <v>156</v>
      </c>
      <c r="B64" s="108" t="s">
        <v>25</v>
      </c>
      <c r="C64" s="2">
        <v>485</v>
      </c>
      <c r="D64" s="5">
        <v>100</v>
      </c>
      <c r="E64" s="60">
        <f>C64*D64</f>
        <v>48500</v>
      </c>
    </row>
    <row r="65" spans="1:5" x14ac:dyDescent="0.35">
      <c r="A65" s="2" t="s">
        <v>157</v>
      </c>
      <c r="B65" s="108" t="s">
        <v>25</v>
      </c>
      <c r="C65" s="2">
        <v>585</v>
      </c>
      <c r="D65" s="5">
        <v>130</v>
      </c>
      <c r="E65" s="60">
        <f>C65*D65</f>
        <v>76050</v>
      </c>
    </row>
    <row r="66" spans="1:5" x14ac:dyDescent="0.35">
      <c r="A66" s="2" t="s">
        <v>24</v>
      </c>
      <c r="B66" s="108" t="s">
        <v>25</v>
      </c>
      <c r="C66" s="2">
        <v>885</v>
      </c>
      <c r="D66" s="5">
        <v>100</v>
      </c>
      <c r="E66" s="60">
        <f>C66*D66</f>
        <v>88500</v>
      </c>
    </row>
    <row r="67" spans="1:5" x14ac:dyDescent="0.35">
      <c r="A67" s="2" t="s">
        <v>3</v>
      </c>
      <c r="B67" s="108" t="s">
        <v>30</v>
      </c>
      <c r="C67" s="2">
        <v>1</v>
      </c>
      <c r="D67" s="5">
        <v>30000</v>
      </c>
      <c r="E67" s="60">
        <f>C67*D67</f>
        <v>30000</v>
      </c>
    </row>
    <row r="68" spans="1:5" x14ac:dyDescent="0.35">
      <c r="A68" s="2" t="s">
        <v>5</v>
      </c>
      <c r="B68" s="108"/>
      <c r="C68" s="2"/>
      <c r="D68" s="5"/>
      <c r="E68" s="60">
        <f>SUM(E64:E67)</f>
        <v>243050</v>
      </c>
    </row>
    <row r="69" spans="1:5" ht="29" x14ac:dyDescent="0.35">
      <c r="A69" s="8" t="s">
        <v>131</v>
      </c>
      <c r="B69" s="108" t="s">
        <v>30</v>
      </c>
      <c r="C69" s="5"/>
      <c r="D69" s="5"/>
      <c r="E69" s="60">
        <f>ROUNDUP((E68*0.15)/100,0)*100</f>
        <v>36500</v>
      </c>
    </row>
    <row r="70" spans="1:5" x14ac:dyDescent="0.35">
      <c r="A70" s="56" t="s">
        <v>12</v>
      </c>
      <c r="B70" s="108"/>
      <c r="C70" s="5"/>
      <c r="D70" s="5"/>
      <c r="E70" s="58">
        <f>SUM(E68:E69)</f>
        <v>279550</v>
      </c>
    </row>
    <row r="72" spans="1:5" x14ac:dyDescent="0.35">
      <c r="A72" s="56" t="s">
        <v>158</v>
      </c>
      <c r="B72" s="108"/>
      <c r="C72" s="2"/>
      <c r="D72" s="5"/>
      <c r="E72" s="5"/>
    </row>
    <row r="73" spans="1:5" x14ac:dyDescent="0.35">
      <c r="A73" s="2" t="s">
        <v>28</v>
      </c>
      <c r="B73" s="108" t="s">
        <v>25</v>
      </c>
      <c r="C73" s="2">
        <v>625</v>
      </c>
      <c r="D73" s="5">
        <v>130</v>
      </c>
      <c r="E73" s="5">
        <f>C73*D73</f>
        <v>81250</v>
      </c>
    </row>
    <row r="74" spans="1:5" x14ac:dyDescent="0.35">
      <c r="A74" s="2" t="s">
        <v>80</v>
      </c>
      <c r="B74" s="108" t="s">
        <v>30</v>
      </c>
      <c r="C74" s="2">
        <v>1</v>
      </c>
      <c r="D74" s="5">
        <v>30000</v>
      </c>
      <c r="E74" s="5">
        <f>C74*D74</f>
        <v>30000</v>
      </c>
    </row>
    <row r="75" spans="1:5" x14ac:dyDescent="0.35">
      <c r="A75" s="2" t="s">
        <v>5</v>
      </c>
      <c r="B75" s="108"/>
      <c r="C75" s="2"/>
      <c r="D75" s="5"/>
      <c r="E75" s="60">
        <f>SUM(E73:E74)</f>
        <v>111250</v>
      </c>
    </row>
    <row r="76" spans="1:5" ht="29" x14ac:dyDescent="0.35">
      <c r="A76" s="8" t="s">
        <v>131</v>
      </c>
      <c r="B76" s="108" t="s">
        <v>30</v>
      </c>
      <c r="C76" s="5"/>
      <c r="D76" s="5"/>
      <c r="E76" s="60">
        <f>ROUNDUP((E75*0.15)/100,0)*100</f>
        <v>16700</v>
      </c>
    </row>
    <row r="77" spans="1:5" x14ac:dyDescent="0.35">
      <c r="A77" s="56" t="s">
        <v>12</v>
      </c>
      <c r="B77" s="108"/>
      <c r="C77" s="5"/>
      <c r="D77" s="5"/>
      <c r="E77" s="58">
        <f>SUM(E75:E76)</f>
        <v>127950</v>
      </c>
    </row>
    <row r="79" spans="1:5" x14ac:dyDescent="0.35">
      <c r="A79" s="56" t="s">
        <v>159</v>
      </c>
      <c r="B79" s="108"/>
      <c r="C79" s="2"/>
      <c r="D79" s="5"/>
      <c r="E79" s="5"/>
    </row>
    <row r="80" spans="1:5" x14ac:dyDescent="0.35">
      <c r="A80" s="2" t="s">
        <v>24</v>
      </c>
      <c r="B80" s="108" t="s">
        <v>25</v>
      </c>
      <c r="C80" s="2">
        <v>935</v>
      </c>
      <c r="D80" s="5">
        <v>100</v>
      </c>
      <c r="E80" s="5">
        <f>C80*D80</f>
        <v>93500</v>
      </c>
    </row>
    <row r="81" spans="1:5" x14ac:dyDescent="0.35">
      <c r="A81" s="2" t="s">
        <v>160</v>
      </c>
      <c r="B81" s="108" t="s">
        <v>25</v>
      </c>
      <c r="C81" s="2">
        <v>545</v>
      </c>
      <c r="D81" s="5">
        <v>140</v>
      </c>
      <c r="E81" s="5">
        <f>C81*D81</f>
        <v>76300</v>
      </c>
    </row>
    <row r="82" spans="1:5" x14ac:dyDescent="0.35">
      <c r="A82" s="2" t="s">
        <v>156</v>
      </c>
      <c r="B82" s="108" t="s">
        <v>25</v>
      </c>
      <c r="C82" s="2">
        <v>470</v>
      </c>
      <c r="D82" s="5">
        <v>100</v>
      </c>
      <c r="E82" s="5">
        <f>C82*D82</f>
        <v>47000</v>
      </c>
    </row>
    <row r="83" spans="1:5" x14ac:dyDescent="0.35">
      <c r="A83" s="2" t="s">
        <v>161</v>
      </c>
      <c r="B83" s="108" t="s">
        <v>30</v>
      </c>
      <c r="C83" s="2">
        <v>1</v>
      </c>
      <c r="D83" s="5">
        <v>30000</v>
      </c>
      <c r="E83" s="5">
        <f>C83*D83</f>
        <v>30000</v>
      </c>
    </row>
    <row r="84" spans="1:5" x14ac:dyDescent="0.35">
      <c r="A84" s="2" t="s">
        <v>5</v>
      </c>
      <c r="B84" s="108"/>
      <c r="C84" s="2"/>
      <c r="D84" s="5"/>
      <c r="E84" s="60">
        <f>SUM(E80:E83)</f>
        <v>246800</v>
      </c>
    </row>
    <row r="85" spans="1:5" ht="29" x14ac:dyDescent="0.35">
      <c r="A85" s="8" t="s">
        <v>131</v>
      </c>
      <c r="B85" s="108" t="s">
        <v>30</v>
      </c>
      <c r="C85" s="5"/>
      <c r="D85" s="5"/>
      <c r="E85" s="60">
        <f>ROUNDUP((E84*0.15)/100,0)*100</f>
        <v>37100</v>
      </c>
    </row>
    <row r="86" spans="1:5" x14ac:dyDescent="0.35">
      <c r="A86" s="56" t="s">
        <v>12</v>
      </c>
      <c r="B86" s="108"/>
      <c r="C86" s="5"/>
      <c r="D86" s="5"/>
      <c r="E86" s="58">
        <f>SUM(E84:E85)</f>
        <v>283900</v>
      </c>
    </row>
    <row r="88" spans="1:5" x14ac:dyDescent="0.35">
      <c r="A88" s="64" t="s">
        <v>164</v>
      </c>
      <c r="B88" s="116"/>
      <c r="C88" s="65"/>
      <c r="D88" s="100"/>
      <c r="E88" s="63">
        <f>E22+E29+E39+E47+E52+E61+E70+E77+E86+'Eelarve ja ajakava'!D9+'Eelarve ja ajakava'!D13+'Eelarve ja ajakava'!D17+'Eelarve ja ajakava'!D21</f>
        <v>3653760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148D-27ED-49FD-95F2-8D446BE486E9}">
  <dimension ref="A1:E22"/>
  <sheetViews>
    <sheetView workbookViewId="0">
      <selection activeCell="I4" sqref="I4"/>
    </sheetView>
  </sheetViews>
  <sheetFormatPr defaultRowHeight="14.5" x14ac:dyDescent="0.35"/>
  <cols>
    <col min="1" max="1" width="48.6328125" customWidth="1"/>
    <col min="2" max="2" width="4.90625" style="111" bestFit="1" customWidth="1"/>
    <col min="3" max="3" width="11.453125" customWidth="1"/>
    <col min="4" max="4" width="16.08984375" customWidth="1"/>
    <col min="5" max="5" width="10" customWidth="1"/>
  </cols>
  <sheetData>
    <row r="1" spans="1:5" x14ac:dyDescent="0.35">
      <c r="A1" s="53" t="s">
        <v>169</v>
      </c>
    </row>
    <row r="3" spans="1:5" x14ac:dyDescent="0.35">
      <c r="A3" s="56" t="s">
        <v>165</v>
      </c>
      <c r="B3" s="108" t="s">
        <v>26</v>
      </c>
      <c r="C3" s="108" t="s">
        <v>134</v>
      </c>
      <c r="D3" s="108" t="s">
        <v>132</v>
      </c>
      <c r="E3" s="108" t="s">
        <v>133</v>
      </c>
    </row>
    <row r="4" spans="1:5" x14ac:dyDescent="0.35">
      <c r="A4" s="2" t="s">
        <v>23</v>
      </c>
      <c r="B4" s="108" t="s">
        <v>25</v>
      </c>
      <c r="C4" s="2">
        <v>465</v>
      </c>
      <c r="D4" s="2">
        <v>100</v>
      </c>
      <c r="E4" s="2">
        <f>C4*D4</f>
        <v>46500</v>
      </c>
    </row>
    <row r="5" spans="1:5" x14ac:dyDescent="0.35">
      <c r="A5" s="2" t="s">
        <v>24</v>
      </c>
      <c r="B5" s="108" t="s">
        <v>25</v>
      </c>
      <c r="C5" s="2">
        <v>1225</v>
      </c>
      <c r="D5" s="2">
        <v>100</v>
      </c>
      <c r="E5" s="2">
        <f>C5*D5</f>
        <v>122500</v>
      </c>
    </row>
    <row r="6" spans="1:5" x14ac:dyDescent="0.35">
      <c r="A6" s="2" t="s">
        <v>19</v>
      </c>
      <c r="B6" s="108" t="s">
        <v>25</v>
      </c>
      <c r="C6" s="2">
        <v>1662</v>
      </c>
      <c r="D6" s="2">
        <v>140</v>
      </c>
      <c r="E6" s="2">
        <f t="shared" ref="E6:E9" si="0">C6*D6</f>
        <v>232680</v>
      </c>
    </row>
    <row r="7" spans="1:5" x14ac:dyDescent="0.35">
      <c r="A7" s="2" t="s">
        <v>28</v>
      </c>
      <c r="B7" s="108" t="s">
        <v>25</v>
      </c>
      <c r="C7" s="2">
        <v>860</v>
      </c>
      <c r="D7" s="2">
        <v>100</v>
      </c>
      <c r="E7" s="2">
        <f t="shared" si="0"/>
        <v>86000</v>
      </c>
    </row>
    <row r="8" spans="1:5" x14ac:dyDescent="0.35">
      <c r="A8" s="2" t="s">
        <v>27</v>
      </c>
      <c r="B8" s="108" t="s">
        <v>25</v>
      </c>
      <c r="C8" s="2">
        <v>148</v>
      </c>
      <c r="D8" s="2">
        <v>140</v>
      </c>
      <c r="E8" s="2">
        <f t="shared" si="0"/>
        <v>20720</v>
      </c>
    </row>
    <row r="9" spans="1:5" x14ac:dyDescent="0.35">
      <c r="A9" s="2" t="s">
        <v>80</v>
      </c>
      <c r="B9" s="108" t="s">
        <v>30</v>
      </c>
      <c r="C9" s="2">
        <v>3</v>
      </c>
      <c r="D9" s="2">
        <v>35000</v>
      </c>
      <c r="E9" s="2">
        <f t="shared" si="0"/>
        <v>105000</v>
      </c>
    </row>
    <row r="10" spans="1:5" x14ac:dyDescent="0.35">
      <c r="A10" s="2" t="s">
        <v>5</v>
      </c>
      <c r="B10" s="108"/>
      <c r="C10" s="2"/>
      <c r="D10" s="2"/>
      <c r="E10" s="2">
        <f>SUM(E4:E9)*1.15</f>
        <v>705410</v>
      </c>
    </row>
    <row r="11" spans="1:5" ht="29" x14ac:dyDescent="0.35">
      <c r="A11" s="8" t="s">
        <v>167</v>
      </c>
      <c r="B11" s="108" t="s">
        <v>30</v>
      </c>
      <c r="C11" s="5"/>
      <c r="D11" s="5"/>
      <c r="E11" s="60">
        <f>ROUNDUP((E10*0.15)/100,0)*100</f>
        <v>105900</v>
      </c>
    </row>
    <row r="12" spans="1:5" x14ac:dyDescent="0.35">
      <c r="A12" s="56" t="s">
        <v>12</v>
      </c>
      <c r="B12" s="108"/>
      <c r="C12" s="5"/>
      <c r="D12" s="5"/>
      <c r="E12" s="58">
        <f>SUM(E10:E11)</f>
        <v>811310</v>
      </c>
    </row>
    <row r="14" spans="1:5" x14ac:dyDescent="0.35">
      <c r="A14" s="56" t="s">
        <v>166</v>
      </c>
      <c r="B14" s="108"/>
      <c r="C14" s="2"/>
      <c r="D14" s="2"/>
      <c r="E14" s="2"/>
    </row>
    <row r="15" spans="1:5" x14ac:dyDescent="0.35">
      <c r="A15" s="2" t="s">
        <v>23</v>
      </c>
      <c r="B15" s="108" t="s">
        <v>25</v>
      </c>
      <c r="C15" s="2">
        <v>680</v>
      </c>
      <c r="D15" s="2">
        <v>100</v>
      </c>
      <c r="E15" s="2">
        <f>C15*D15</f>
        <v>68000</v>
      </c>
    </row>
    <row r="16" spans="1:5" x14ac:dyDescent="0.35">
      <c r="A16" s="2" t="s">
        <v>19</v>
      </c>
      <c r="B16" s="108" t="s">
        <v>25</v>
      </c>
      <c r="C16" s="2">
        <v>420</v>
      </c>
      <c r="D16" s="2">
        <v>140</v>
      </c>
      <c r="E16" s="2">
        <f t="shared" ref="E16:E17" si="1">C16*D16</f>
        <v>58800</v>
      </c>
    </row>
    <row r="17" spans="1:5" x14ac:dyDescent="0.35">
      <c r="A17" s="2" t="s">
        <v>28</v>
      </c>
      <c r="B17" s="108" t="s">
        <v>25</v>
      </c>
      <c r="C17" s="2">
        <v>680</v>
      </c>
      <c r="D17" s="2">
        <v>100</v>
      </c>
      <c r="E17" s="2">
        <f t="shared" si="1"/>
        <v>68000</v>
      </c>
    </row>
    <row r="18" spans="1:5" x14ac:dyDescent="0.35">
      <c r="A18" s="2" t="s">
        <v>5</v>
      </c>
      <c r="B18" s="108"/>
      <c r="C18" s="2"/>
      <c r="D18" s="2"/>
      <c r="E18" s="2">
        <f>SUM(E15:E17)*1.15</f>
        <v>224019.99999999997</v>
      </c>
    </row>
    <row r="19" spans="1:5" ht="29" x14ac:dyDescent="0.35">
      <c r="A19" s="8" t="s">
        <v>167</v>
      </c>
      <c r="B19" s="108" t="s">
        <v>30</v>
      </c>
      <c r="C19" s="5"/>
      <c r="D19" s="5"/>
      <c r="E19" s="60">
        <f>ROUNDUP((E18*0.15)/100,0)*100</f>
        <v>33700</v>
      </c>
    </row>
    <row r="20" spans="1:5" x14ac:dyDescent="0.35">
      <c r="A20" s="56" t="s">
        <v>12</v>
      </c>
      <c r="B20" s="108"/>
      <c r="C20" s="5"/>
      <c r="D20" s="5"/>
      <c r="E20" s="58">
        <f>SUM(E18:E19)</f>
        <v>257719.99999999997</v>
      </c>
    </row>
    <row r="22" spans="1:5" x14ac:dyDescent="0.35">
      <c r="A22" s="64" t="s">
        <v>168</v>
      </c>
      <c r="B22" s="116"/>
      <c r="C22" s="65"/>
      <c r="D22" s="65"/>
      <c r="E22" s="63">
        <f>E12+E20</f>
        <v>1069030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6"/>
  <sheetViews>
    <sheetView workbookViewId="0">
      <pane ySplit="1" topLeftCell="A2" activePane="bottomLeft" state="frozen"/>
      <selection pane="bottomLeft" activeCell="D10" sqref="D10"/>
    </sheetView>
  </sheetViews>
  <sheetFormatPr defaultRowHeight="14.5" x14ac:dyDescent="0.35"/>
  <cols>
    <col min="1" max="1" width="31.81640625" customWidth="1"/>
    <col min="2" max="2" width="54.453125" customWidth="1"/>
    <col min="3" max="3" width="6.81640625" customWidth="1"/>
    <col min="5" max="5" width="11.54296875" customWidth="1"/>
    <col min="6" max="6" width="9.54296875" bestFit="1" customWidth="1"/>
  </cols>
  <sheetData>
    <row r="1" spans="1:7" x14ac:dyDescent="0.35">
      <c r="B1" s="2" t="s">
        <v>57</v>
      </c>
      <c r="C1" s="10" t="s">
        <v>26</v>
      </c>
      <c r="D1" s="10" t="s">
        <v>11</v>
      </c>
      <c r="E1" s="10" t="s">
        <v>9</v>
      </c>
      <c r="F1" s="10" t="s">
        <v>10</v>
      </c>
    </row>
    <row r="2" spans="1:7" x14ac:dyDescent="0.35">
      <c r="A2" s="1" t="s">
        <v>45</v>
      </c>
      <c r="B2" s="10" t="s">
        <v>73</v>
      </c>
      <c r="C2" s="10"/>
      <c r="D2" s="10"/>
      <c r="E2" s="10"/>
      <c r="F2" s="10"/>
    </row>
    <row r="3" spans="1:7" x14ac:dyDescent="0.35">
      <c r="B3" s="2" t="s">
        <v>24</v>
      </c>
      <c r="C3" s="2" t="s">
        <v>25</v>
      </c>
      <c r="D3" s="2">
        <v>1602</v>
      </c>
      <c r="E3" s="2"/>
      <c r="F3" s="5"/>
    </row>
    <row r="4" spans="1:7" x14ac:dyDescent="0.35">
      <c r="B4" s="2" t="s">
        <v>42</v>
      </c>
      <c r="C4" s="2" t="s">
        <v>39</v>
      </c>
      <c r="D4" s="15">
        <v>28</v>
      </c>
      <c r="E4" s="2"/>
      <c r="F4" s="5"/>
      <c r="G4" t="s">
        <v>75</v>
      </c>
    </row>
    <row r="5" spans="1:7" x14ac:dyDescent="0.35">
      <c r="B5" s="2" t="s">
        <v>27</v>
      </c>
      <c r="C5" s="2" t="s">
        <v>25</v>
      </c>
      <c r="D5" s="2">
        <v>1529</v>
      </c>
      <c r="E5" s="2"/>
      <c r="F5" s="5"/>
    </row>
    <row r="6" spans="1:7" x14ac:dyDescent="0.35">
      <c r="B6" s="2" t="s">
        <v>46</v>
      </c>
      <c r="C6" s="2" t="s">
        <v>25</v>
      </c>
      <c r="D6" s="2">
        <v>595</v>
      </c>
      <c r="E6" s="2"/>
      <c r="F6" s="5"/>
    </row>
    <row r="7" spans="1:7" x14ac:dyDescent="0.35">
      <c r="B7" s="2" t="s">
        <v>43</v>
      </c>
      <c r="C7" s="2" t="s">
        <v>39</v>
      </c>
      <c r="D7" s="15">
        <v>25</v>
      </c>
      <c r="E7" s="2"/>
      <c r="F7" s="5"/>
    </row>
    <row r="8" spans="1:7" x14ac:dyDescent="0.35">
      <c r="B8" s="2" t="s">
        <v>37</v>
      </c>
      <c r="C8" s="2" t="s">
        <v>25</v>
      </c>
      <c r="D8" s="2">
        <v>1</v>
      </c>
      <c r="E8" s="2"/>
      <c r="F8" s="5"/>
    </row>
    <row r="9" spans="1:7" x14ac:dyDescent="0.35">
      <c r="B9" s="10" t="s">
        <v>47</v>
      </c>
      <c r="C9" s="10"/>
      <c r="D9" s="10"/>
      <c r="E9" s="10"/>
      <c r="F9" s="4">
        <v>333054.11</v>
      </c>
      <c r="G9" t="s">
        <v>50</v>
      </c>
    </row>
    <row r="10" spans="1:7" x14ac:dyDescent="0.35">
      <c r="B10" s="10" t="s">
        <v>74</v>
      </c>
      <c r="C10" s="10"/>
      <c r="D10" s="10"/>
      <c r="E10" s="10"/>
      <c r="F10" s="4"/>
    </row>
    <row r="11" spans="1:7" x14ac:dyDescent="0.35">
      <c r="B11" s="2" t="s">
        <v>23</v>
      </c>
      <c r="C11" s="2" t="s">
        <v>25</v>
      </c>
      <c r="D11" s="2">
        <v>63</v>
      </c>
      <c r="E11" s="2"/>
      <c r="F11" s="5"/>
    </row>
    <row r="12" spans="1:7" x14ac:dyDescent="0.35">
      <c r="B12" s="2" t="s">
        <v>38</v>
      </c>
      <c r="C12" s="2" t="s">
        <v>39</v>
      </c>
      <c r="D12" s="14">
        <v>4</v>
      </c>
      <c r="E12" s="2"/>
      <c r="F12" s="5"/>
    </row>
    <row r="13" spans="1:7" x14ac:dyDescent="0.35">
      <c r="B13" s="2" t="s">
        <v>19</v>
      </c>
      <c r="C13" s="2" t="s">
        <v>25</v>
      </c>
      <c r="D13" s="2">
        <v>181</v>
      </c>
      <c r="E13" s="2"/>
      <c r="F13" s="5"/>
    </row>
    <row r="14" spans="1:7" x14ac:dyDescent="0.35">
      <c r="B14" s="2" t="s">
        <v>28</v>
      </c>
      <c r="C14" s="2" t="s">
        <v>25</v>
      </c>
      <c r="D14" s="2">
        <v>36</v>
      </c>
      <c r="E14" s="2"/>
      <c r="F14" s="5"/>
    </row>
    <row r="15" spans="1:7" x14ac:dyDescent="0.35">
      <c r="B15" s="2" t="s">
        <v>37</v>
      </c>
      <c r="C15" s="2" t="s">
        <v>39</v>
      </c>
      <c r="D15" s="2">
        <v>1</v>
      </c>
      <c r="E15" s="2"/>
      <c r="F15" s="5"/>
    </row>
    <row r="16" spans="1:7" x14ac:dyDescent="0.35">
      <c r="B16" s="2" t="s">
        <v>17</v>
      </c>
      <c r="C16" s="2" t="s">
        <v>39</v>
      </c>
      <c r="D16" s="14">
        <v>1</v>
      </c>
      <c r="E16" s="2"/>
      <c r="F16" s="5"/>
    </row>
    <row r="17" spans="1:7" x14ac:dyDescent="0.35">
      <c r="B17" s="10" t="s">
        <v>48</v>
      </c>
      <c r="C17" s="10"/>
      <c r="D17" s="10"/>
      <c r="E17" s="10"/>
      <c r="F17" s="4">
        <v>48168.54</v>
      </c>
      <c r="G17" t="s">
        <v>50</v>
      </c>
    </row>
    <row r="18" spans="1:7" x14ac:dyDescent="0.35">
      <c r="B18" s="2" t="s">
        <v>5</v>
      </c>
      <c r="C18" s="2"/>
      <c r="D18" s="2"/>
      <c r="E18" s="5"/>
      <c r="F18" s="5">
        <f>F9+F17</f>
        <v>381222.64999999997</v>
      </c>
    </row>
    <row r="19" spans="1:7" x14ac:dyDescent="0.35">
      <c r="B19" s="2" t="s">
        <v>49</v>
      </c>
      <c r="C19" s="2"/>
      <c r="D19" s="2"/>
      <c r="E19" s="5"/>
      <c r="F19" s="5">
        <f>13860+24360</f>
        <v>38220</v>
      </c>
      <c r="G19" t="s">
        <v>51</v>
      </c>
    </row>
    <row r="20" spans="1:7" x14ac:dyDescent="0.35">
      <c r="B20" s="10" t="s">
        <v>12</v>
      </c>
      <c r="C20" s="10"/>
      <c r="D20" s="10"/>
      <c r="E20" s="4"/>
      <c r="F20" s="4">
        <f>F18+F19</f>
        <v>419442.64999999997</v>
      </c>
    </row>
    <row r="22" spans="1:7" ht="29" x14ac:dyDescent="0.35">
      <c r="A22" s="9" t="s">
        <v>52</v>
      </c>
      <c r="B22" s="2" t="s">
        <v>23</v>
      </c>
      <c r="C22" s="2"/>
      <c r="D22" s="2">
        <v>430</v>
      </c>
      <c r="E22" s="2"/>
      <c r="F22" s="2"/>
    </row>
    <row r="23" spans="1:7" x14ac:dyDescent="0.35">
      <c r="B23" s="2" t="s">
        <v>53</v>
      </c>
      <c r="C23" s="2"/>
      <c r="D23" s="2">
        <v>480</v>
      </c>
      <c r="E23" s="2"/>
      <c r="F23" s="2"/>
    </row>
    <row r="24" spans="1:7" x14ac:dyDescent="0.35">
      <c r="B24" s="2" t="s">
        <v>54</v>
      </c>
      <c r="C24" s="2"/>
      <c r="D24" s="2"/>
      <c r="E24" s="2"/>
      <c r="F24" s="2">
        <v>85000</v>
      </c>
    </row>
    <row r="25" spans="1:7" x14ac:dyDescent="0.35">
      <c r="B25" s="2"/>
      <c r="C25" s="2"/>
      <c r="D25" s="2"/>
      <c r="E25" s="2"/>
      <c r="F25" s="2"/>
    </row>
    <row r="26" spans="1:7" x14ac:dyDescent="0.35">
      <c r="A26" s="1" t="s">
        <v>20</v>
      </c>
      <c r="B26" s="2" t="s">
        <v>34</v>
      </c>
      <c r="C26" s="2" t="s">
        <v>25</v>
      </c>
      <c r="D26" s="2">
        <f>81+1862.5+28.5+28.5+24+70+310.5+270+46</f>
        <v>2721</v>
      </c>
      <c r="E26" s="2"/>
      <c r="F26" s="5"/>
    </row>
    <row r="27" spans="1:7" x14ac:dyDescent="0.35">
      <c r="A27" s="1"/>
      <c r="B27" s="2" t="s">
        <v>38</v>
      </c>
      <c r="C27" s="2" t="s">
        <v>39</v>
      </c>
      <c r="D27" s="2">
        <v>52</v>
      </c>
      <c r="E27" s="2"/>
      <c r="F27" s="5"/>
    </row>
    <row r="28" spans="1:7" x14ac:dyDescent="0.35">
      <c r="A28" s="1"/>
      <c r="B28" s="2" t="s">
        <v>42</v>
      </c>
      <c r="C28" s="2" t="s">
        <v>39</v>
      </c>
      <c r="D28" s="2">
        <v>6</v>
      </c>
      <c r="E28" s="2"/>
      <c r="F28" s="5"/>
    </row>
    <row r="29" spans="1:7" x14ac:dyDescent="0.35">
      <c r="B29" s="2" t="s">
        <v>35</v>
      </c>
      <c r="C29" s="2" t="s">
        <v>25</v>
      </c>
      <c r="D29" s="2">
        <f>31+1862.5+28.5+7+70+46</f>
        <v>2045</v>
      </c>
      <c r="E29" s="2"/>
      <c r="F29" s="5"/>
    </row>
    <row r="30" spans="1:7" x14ac:dyDescent="0.35">
      <c r="B30" s="2" t="s">
        <v>36</v>
      </c>
      <c r="C30" s="2" t="s">
        <v>25</v>
      </c>
      <c r="D30" s="2">
        <f>24+7+70+270</f>
        <v>371</v>
      </c>
      <c r="E30" s="2"/>
      <c r="F30" s="5"/>
    </row>
    <row r="31" spans="1:7" x14ac:dyDescent="0.35">
      <c r="B31" s="2" t="s">
        <v>17</v>
      </c>
      <c r="C31" s="2" t="s">
        <v>39</v>
      </c>
      <c r="D31" s="2">
        <v>57</v>
      </c>
      <c r="E31" s="2"/>
      <c r="F31" s="5"/>
    </row>
    <row r="32" spans="1:7" x14ac:dyDescent="0.35">
      <c r="B32" s="2" t="s">
        <v>43</v>
      </c>
      <c r="C32" s="2" t="s">
        <v>39</v>
      </c>
      <c r="D32" s="2">
        <v>2</v>
      </c>
      <c r="E32" s="2"/>
      <c r="F32" s="5"/>
    </row>
    <row r="33" spans="1:7" x14ac:dyDescent="0.35">
      <c r="B33" s="2" t="s">
        <v>37</v>
      </c>
      <c r="C33" s="2" t="s">
        <v>25</v>
      </c>
      <c r="D33" s="2">
        <v>1</v>
      </c>
      <c r="E33" s="2"/>
      <c r="F33" s="5"/>
    </row>
    <row r="34" spans="1:7" x14ac:dyDescent="0.35">
      <c r="B34" s="2" t="s">
        <v>5</v>
      </c>
      <c r="C34" s="2"/>
      <c r="D34" s="2"/>
      <c r="E34" s="5"/>
      <c r="F34" s="5">
        <v>384304.2</v>
      </c>
      <c r="G34" t="s">
        <v>40</v>
      </c>
    </row>
    <row r="35" spans="1:7" x14ac:dyDescent="0.35">
      <c r="B35" s="2" t="s">
        <v>41</v>
      </c>
      <c r="C35" s="2"/>
      <c r="D35" s="2"/>
      <c r="E35" s="5"/>
      <c r="F35" s="5">
        <f>F34*0.1</f>
        <v>38430.420000000006</v>
      </c>
    </row>
    <row r="36" spans="1:7" x14ac:dyDescent="0.35">
      <c r="B36" s="2" t="s">
        <v>12</v>
      </c>
      <c r="C36" s="2"/>
      <c r="D36" s="2"/>
      <c r="E36" s="5"/>
      <c r="F36" s="4">
        <f>F34+F35</f>
        <v>422734.62</v>
      </c>
    </row>
    <row r="38" spans="1:7" x14ac:dyDescent="0.35">
      <c r="A38" s="1" t="s">
        <v>55</v>
      </c>
      <c r="B38" s="10" t="s">
        <v>72</v>
      </c>
      <c r="C38" s="2"/>
      <c r="D38" s="2"/>
      <c r="E38" s="2"/>
      <c r="F38" s="2"/>
    </row>
    <row r="39" spans="1:7" x14ac:dyDescent="0.35">
      <c r="B39" s="2" t="s">
        <v>24</v>
      </c>
      <c r="C39" s="2" t="s">
        <v>25</v>
      </c>
      <c r="D39" s="5">
        <v>2145</v>
      </c>
      <c r="E39" s="5">
        <v>80</v>
      </c>
      <c r="F39" s="5">
        <f>D39*E39</f>
        <v>171600</v>
      </c>
    </row>
    <row r="40" spans="1:7" x14ac:dyDescent="0.35">
      <c r="A40" s="1"/>
      <c r="B40" s="2" t="s">
        <v>58</v>
      </c>
      <c r="C40" s="2" t="s">
        <v>39</v>
      </c>
      <c r="D40" s="5">
        <v>30</v>
      </c>
      <c r="E40" s="5">
        <v>400</v>
      </c>
      <c r="F40" s="5">
        <f t="shared" ref="F40:F42" si="0">D40*E40</f>
        <v>12000</v>
      </c>
    </row>
    <row r="41" spans="1:7" x14ac:dyDescent="0.35">
      <c r="A41" s="1"/>
      <c r="B41" s="2" t="s">
        <v>27</v>
      </c>
      <c r="C41" s="2" t="s">
        <v>25</v>
      </c>
      <c r="D41" s="5">
        <v>2105</v>
      </c>
      <c r="E41" s="5">
        <v>120</v>
      </c>
      <c r="F41" s="5">
        <f t="shared" si="0"/>
        <v>252600</v>
      </c>
    </row>
    <row r="42" spans="1:7" x14ac:dyDescent="0.35">
      <c r="A42" s="1"/>
      <c r="B42" s="2" t="s">
        <v>59</v>
      </c>
      <c r="C42" s="2" t="s">
        <v>39</v>
      </c>
      <c r="D42" s="5">
        <v>25</v>
      </c>
      <c r="E42" s="5">
        <v>400</v>
      </c>
      <c r="F42" s="5">
        <f t="shared" si="0"/>
        <v>10000</v>
      </c>
    </row>
    <row r="43" spans="1:7" x14ac:dyDescent="0.35">
      <c r="B43" s="2" t="s">
        <v>60</v>
      </c>
      <c r="C43" s="2"/>
      <c r="D43" s="5"/>
      <c r="E43" s="5"/>
      <c r="F43" s="5">
        <f>SUM(F39:F42)</f>
        <v>446200</v>
      </c>
    </row>
    <row r="44" spans="1:7" ht="43.5" x14ac:dyDescent="0.35">
      <c r="A44" s="1"/>
      <c r="B44" s="8" t="s">
        <v>61</v>
      </c>
      <c r="C44" s="2"/>
      <c r="D44" s="5"/>
      <c r="E44" s="5"/>
      <c r="F44" s="5">
        <v>62337</v>
      </c>
    </row>
    <row r="45" spans="1:7" x14ac:dyDescent="0.35">
      <c r="A45" s="1"/>
      <c r="B45" s="10" t="s">
        <v>62</v>
      </c>
      <c r="C45" s="10"/>
      <c r="D45" s="4"/>
      <c r="E45" s="4"/>
      <c r="F45" s="4">
        <v>508537</v>
      </c>
    </row>
    <row r="46" spans="1:7" x14ac:dyDescent="0.35">
      <c r="A46" s="1"/>
      <c r="D46" s="3"/>
      <c r="E46" s="3"/>
      <c r="F46" s="3"/>
    </row>
    <row r="47" spans="1:7" x14ac:dyDescent="0.35">
      <c r="A47" s="1"/>
      <c r="B47" s="10" t="s">
        <v>63</v>
      </c>
      <c r="C47" s="2"/>
      <c r="D47" s="5"/>
      <c r="E47" s="5"/>
      <c r="F47" s="5"/>
    </row>
    <row r="48" spans="1:7" x14ac:dyDescent="0.35">
      <c r="A48" s="1"/>
      <c r="B48" s="2" t="s">
        <v>64</v>
      </c>
      <c r="C48" s="2" t="s">
        <v>25</v>
      </c>
      <c r="D48" s="5">
        <v>115</v>
      </c>
      <c r="E48" s="5">
        <v>80</v>
      </c>
      <c r="F48" s="5">
        <f>D48*E48</f>
        <v>9200</v>
      </c>
    </row>
    <row r="49" spans="1:7" x14ac:dyDescent="0.35">
      <c r="A49" s="1"/>
      <c r="B49" s="2" t="s">
        <v>65</v>
      </c>
      <c r="C49" s="2" t="s">
        <v>39</v>
      </c>
      <c r="D49" s="5">
        <v>6</v>
      </c>
      <c r="E49" s="5">
        <v>400</v>
      </c>
      <c r="F49" s="5">
        <f t="shared" ref="F49:F51" si="1">D49*E49</f>
        <v>2400</v>
      </c>
    </row>
    <row r="50" spans="1:7" x14ac:dyDescent="0.35">
      <c r="A50" s="1"/>
      <c r="B50" s="2" t="s">
        <v>19</v>
      </c>
      <c r="C50" s="2" t="s">
        <v>25</v>
      </c>
      <c r="D50" s="5">
        <v>165</v>
      </c>
      <c r="E50" s="5">
        <v>120</v>
      </c>
      <c r="F50" s="5">
        <f t="shared" si="1"/>
        <v>19800</v>
      </c>
    </row>
    <row r="51" spans="1:7" ht="29" x14ac:dyDescent="0.35">
      <c r="A51" s="1"/>
      <c r="B51" s="8" t="s">
        <v>66</v>
      </c>
      <c r="C51" s="2" t="s">
        <v>39</v>
      </c>
      <c r="D51" s="5">
        <v>7</v>
      </c>
      <c r="E51" s="5">
        <v>400</v>
      </c>
      <c r="F51" s="5">
        <f t="shared" si="1"/>
        <v>2800</v>
      </c>
    </row>
    <row r="52" spans="1:7" x14ac:dyDescent="0.35">
      <c r="B52" s="2" t="s">
        <v>68</v>
      </c>
      <c r="C52" s="2"/>
      <c r="D52" s="5"/>
      <c r="E52" s="5"/>
      <c r="F52" s="5">
        <v>14400</v>
      </c>
    </row>
    <row r="53" spans="1:7" x14ac:dyDescent="0.35">
      <c r="A53" s="1"/>
      <c r="B53" s="2" t="s">
        <v>67</v>
      </c>
      <c r="C53" s="2"/>
      <c r="D53" s="5"/>
      <c r="E53" s="5"/>
      <c r="F53" s="5">
        <v>1994</v>
      </c>
    </row>
    <row r="54" spans="1:7" x14ac:dyDescent="0.35">
      <c r="A54" s="1"/>
      <c r="B54" s="10" t="s">
        <v>70</v>
      </c>
      <c r="C54" s="10"/>
      <c r="D54" s="4"/>
      <c r="E54" s="4"/>
      <c r="F54" s="4">
        <v>16344</v>
      </c>
    </row>
    <row r="55" spans="1:7" x14ac:dyDescent="0.35">
      <c r="A55" s="1"/>
      <c r="B55" s="10" t="s">
        <v>69</v>
      </c>
      <c r="C55" s="10"/>
      <c r="D55" s="4"/>
      <c r="E55" s="4"/>
      <c r="F55" s="4">
        <v>524881</v>
      </c>
      <c r="G55" t="s">
        <v>71</v>
      </c>
    </row>
    <row r="56" spans="1:7" x14ac:dyDescent="0.35">
      <c r="A56" s="1"/>
      <c r="D56" s="3"/>
      <c r="E56" s="3"/>
      <c r="F56" s="3"/>
    </row>
    <row r="57" spans="1:7" x14ac:dyDescent="0.35">
      <c r="A57" s="1" t="s">
        <v>56</v>
      </c>
      <c r="B57" s="2" t="s">
        <v>24</v>
      </c>
      <c r="C57" s="2" t="s">
        <v>25</v>
      </c>
      <c r="D57" s="5">
        <v>765</v>
      </c>
      <c r="E57" s="5">
        <v>80</v>
      </c>
      <c r="F57" s="5">
        <f>D57*E57</f>
        <v>61200</v>
      </c>
    </row>
    <row r="58" spans="1:7" x14ac:dyDescent="0.35">
      <c r="A58" s="1"/>
      <c r="B58" s="2" t="s">
        <v>81</v>
      </c>
      <c r="C58" s="2" t="s">
        <v>25</v>
      </c>
      <c r="D58" s="5">
        <v>1350</v>
      </c>
      <c r="E58" s="5">
        <v>120</v>
      </c>
      <c r="F58" s="5">
        <f>D58*E58</f>
        <v>162000</v>
      </c>
    </row>
    <row r="59" spans="1:7" x14ac:dyDescent="0.35">
      <c r="A59" s="1"/>
      <c r="B59" s="2" t="s">
        <v>58</v>
      </c>
      <c r="C59" s="2" t="s">
        <v>39</v>
      </c>
      <c r="D59" s="5">
        <v>8</v>
      </c>
      <c r="E59" s="5">
        <v>400</v>
      </c>
      <c r="F59" s="5">
        <f t="shared" ref="F59:F60" si="2">D59*E59</f>
        <v>3200</v>
      </c>
    </row>
    <row r="60" spans="1:7" x14ac:dyDescent="0.35">
      <c r="A60" s="1"/>
      <c r="B60" s="2" t="s">
        <v>82</v>
      </c>
      <c r="C60" s="2" t="s">
        <v>39</v>
      </c>
      <c r="D60" s="5">
        <v>16</v>
      </c>
      <c r="E60" s="5">
        <v>400</v>
      </c>
      <c r="F60" s="5">
        <f t="shared" si="2"/>
        <v>6400</v>
      </c>
    </row>
    <row r="61" spans="1:7" x14ac:dyDescent="0.35">
      <c r="A61" s="1"/>
      <c r="B61" s="2" t="s">
        <v>5</v>
      </c>
      <c r="C61" s="2"/>
      <c r="D61" s="2"/>
      <c r="E61" s="5"/>
      <c r="F61" s="5">
        <f>SUM(F57:F60)</f>
        <v>232800</v>
      </c>
    </row>
    <row r="62" spans="1:7" x14ac:dyDescent="0.35">
      <c r="A62" s="1"/>
      <c r="B62" s="2" t="s">
        <v>83</v>
      </c>
      <c r="C62" s="2"/>
      <c r="D62" s="2"/>
      <c r="E62" s="5"/>
      <c r="F62" s="5">
        <f>F61*0.2</f>
        <v>46560</v>
      </c>
    </row>
    <row r="63" spans="1:7" x14ac:dyDescent="0.35">
      <c r="A63" s="1"/>
      <c r="B63" s="2" t="s">
        <v>12</v>
      </c>
      <c r="C63" s="2"/>
      <c r="D63" s="2"/>
      <c r="E63" s="5"/>
      <c r="F63" s="4">
        <f>F62+F61</f>
        <v>279360</v>
      </c>
    </row>
    <row r="65" spans="1:6" x14ac:dyDescent="0.35">
      <c r="A65" s="1" t="s">
        <v>44</v>
      </c>
      <c r="B65" s="2" t="s">
        <v>1</v>
      </c>
      <c r="C65" s="2"/>
      <c r="D65" s="2">
        <v>2982</v>
      </c>
      <c r="E65" s="5">
        <v>75</v>
      </c>
      <c r="F65" s="5">
        <f>D65*E65</f>
        <v>223650</v>
      </c>
    </row>
    <row r="66" spans="1:6" x14ac:dyDescent="0.35">
      <c r="B66" s="2" t="s">
        <v>2</v>
      </c>
      <c r="C66" s="2"/>
      <c r="D66" s="2">
        <v>2289</v>
      </c>
      <c r="E66" s="5">
        <v>120</v>
      </c>
      <c r="F66" s="5">
        <f t="shared" ref="F66:F69" si="3">D66*E66</f>
        <v>274680</v>
      </c>
    </row>
    <row r="67" spans="1:6" x14ac:dyDescent="0.35">
      <c r="B67" s="2" t="s">
        <v>14</v>
      </c>
      <c r="C67" s="2"/>
      <c r="D67" s="2">
        <v>550</v>
      </c>
      <c r="E67" s="5">
        <v>75</v>
      </c>
      <c r="F67" s="5">
        <f t="shared" si="3"/>
        <v>41250</v>
      </c>
    </row>
    <row r="68" spans="1:6" x14ac:dyDescent="0.35">
      <c r="B68" s="2" t="s">
        <v>3</v>
      </c>
      <c r="C68" s="2"/>
      <c r="D68" s="2">
        <v>1</v>
      </c>
      <c r="E68" s="5">
        <v>25000</v>
      </c>
      <c r="F68" s="5">
        <f t="shared" si="3"/>
        <v>25000</v>
      </c>
    </row>
    <row r="69" spans="1:6" x14ac:dyDescent="0.35">
      <c r="B69" s="2" t="s">
        <v>4</v>
      </c>
      <c r="C69" s="2"/>
      <c r="D69" s="2">
        <v>116</v>
      </c>
      <c r="E69" s="5">
        <v>500</v>
      </c>
      <c r="F69" s="5">
        <f t="shared" si="3"/>
        <v>58000</v>
      </c>
    </row>
    <row r="70" spans="1:6" x14ac:dyDescent="0.35">
      <c r="B70" s="2" t="s">
        <v>5</v>
      </c>
      <c r="C70" s="2"/>
      <c r="D70" s="2"/>
      <c r="E70" s="5"/>
      <c r="F70" s="5">
        <f>SUM(F65:F69)</f>
        <v>622580</v>
      </c>
    </row>
    <row r="71" spans="1:6" x14ac:dyDescent="0.35">
      <c r="B71" s="2" t="s">
        <v>15</v>
      </c>
      <c r="C71" s="2"/>
      <c r="D71" s="2"/>
      <c r="E71" s="5"/>
      <c r="F71" s="5">
        <f>F70*0.14</f>
        <v>87161.200000000012</v>
      </c>
    </row>
    <row r="72" spans="1:6" x14ac:dyDescent="0.35">
      <c r="B72" s="2" t="s">
        <v>12</v>
      </c>
      <c r="C72" s="2"/>
      <c r="D72" s="2"/>
      <c r="E72" s="5"/>
      <c r="F72" s="4">
        <f>F71+F70</f>
        <v>709741.2</v>
      </c>
    </row>
    <row r="73" spans="1:6" x14ac:dyDescent="0.35">
      <c r="E73" s="3"/>
      <c r="F73" s="12"/>
    </row>
    <row r="74" spans="1:6" x14ac:dyDescent="0.35">
      <c r="A74" s="1" t="s">
        <v>22</v>
      </c>
      <c r="B74" s="2" t="s">
        <v>23</v>
      </c>
      <c r="C74" s="2" t="s">
        <v>25</v>
      </c>
      <c r="D74" s="2">
        <v>1480</v>
      </c>
      <c r="E74" s="2">
        <v>70</v>
      </c>
      <c r="F74" s="2">
        <f>D74*E74</f>
        <v>103600</v>
      </c>
    </row>
    <row r="75" spans="1:6" x14ac:dyDescent="0.35">
      <c r="A75" s="1"/>
      <c r="B75" s="2" t="s">
        <v>24</v>
      </c>
      <c r="C75" s="2" t="s">
        <v>25</v>
      </c>
      <c r="D75" s="2">
        <v>1000</v>
      </c>
      <c r="E75" s="2">
        <v>70</v>
      </c>
      <c r="F75" s="2">
        <f t="shared" ref="F75:F78" si="4">D75*E75</f>
        <v>70000</v>
      </c>
    </row>
    <row r="76" spans="1:6" x14ac:dyDescent="0.35">
      <c r="A76" s="1"/>
      <c r="B76" s="2" t="s">
        <v>19</v>
      </c>
      <c r="C76" s="2" t="s">
        <v>25</v>
      </c>
      <c r="D76" s="2">
        <v>2400</v>
      </c>
      <c r="E76" s="2">
        <v>120</v>
      </c>
      <c r="F76" s="2">
        <f t="shared" si="4"/>
        <v>288000</v>
      </c>
    </row>
    <row r="77" spans="1:6" x14ac:dyDescent="0.35">
      <c r="A77" s="1"/>
      <c r="B77" s="2" t="s">
        <v>28</v>
      </c>
      <c r="C77" s="2" t="s">
        <v>25</v>
      </c>
      <c r="D77" s="2">
        <v>2750</v>
      </c>
      <c r="E77" s="2">
        <v>75</v>
      </c>
      <c r="F77" s="2">
        <f t="shared" si="4"/>
        <v>206250</v>
      </c>
    </row>
    <row r="78" spans="1:6" x14ac:dyDescent="0.35">
      <c r="A78" s="1"/>
      <c r="B78" s="2" t="s">
        <v>80</v>
      </c>
      <c r="C78" s="2" t="s">
        <v>30</v>
      </c>
      <c r="D78" s="2">
        <v>1</v>
      </c>
      <c r="E78" s="2">
        <v>25000</v>
      </c>
      <c r="F78" s="2">
        <f t="shared" si="4"/>
        <v>25000</v>
      </c>
    </row>
    <row r="79" spans="1:6" x14ac:dyDescent="0.35">
      <c r="A79" s="1"/>
      <c r="B79" s="2" t="s">
        <v>5</v>
      </c>
      <c r="C79" s="2"/>
      <c r="D79" s="2"/>
      <c r="E79" s="5"/>
      <c r="F79" s="5">
        <f>SUM(F74:F78)</f>
        <v>692850</v>
      </c>
    </row>
    <row r="80" spans="1:6" x14ac:dyDescent="0.35">
      <c r="A80" s="1"/>
      <c r="B80" s="2" t="s">
        <v>15</v>
      </c>
      <c r="C80" s="2"/>
      <c r="D80" s="2"/>
      <c r="E80" s="5"/>
      <c r="F80" s="5">
        <f>F79*0.14</f>
        <v>96999.000000000015</v>
      </c>
    </row>
    <row r="81" spans="1:6" x14ac:dyDescent="0.35">
      <c r="A81" s="1"/>
      <c r="B81" s="2" t="s">
        <v>12</v>
      </c>
      <c r="C81" s="2"/>
      <c r="D81" s="2"/>
      <c r="E81" s="5"/>
      <c r="F81" s="4">
        <f>F80+F79</f>
        <v>789849</v>
      </c>
    </row>
    <row r="82" spans="1:6" x14ac:dyDescent="0.35">
      <c r="E82" s="3"/>
      <c r="F82" s="3"/>
    </row>
    <row r="83" spans="1:6" x14ac:dyDescent="0.35">
      <c r="A83" s="1" t="s">
        <v>6</v>
      </c>
      <c r="B83" s="2" t="s">
        <v>76</v>
      </c>
      <c r="C83" s="2"/>
      <c r="D83" s="2">
        <v>962</v>
      </c>
      <c r="E83" s="5">
        <v>75</v>
      </c>
      <c r="F83" s="5">
        <f t="shared" ref="F83:F88" si="5">E83*D83</f>
        <v>72150</v>
      </c>
    </row>
    <row r="84" spans="1:6" x14ac:dyDescent="0.35">
      <c r="B84" s="2" t="s">
        <v>77</v>
      </c>
      <c r="C84" s="2"/>
      <c r="D84" s="2">
        <v>1840</v>
      </c>
      <c r="E84" s="5">
        <v>75</v>
      </c>
      <c r="F84" s="5">
        <f t="shared" si="5"/>
        <v>138000</v>
      </c>
    </row>
    <row r="85" spans="1:6" x14ac:dyDescent="0.35">
      <c r="B85" s="2" t="s">
        <v>78</v>
      </c>
      <c r="C85" s="2"/>
      <c r="D85" s="2">
        <v>369</v>
      </c>
      <c r="E85" s="5">
        <v>120</v>
      </c>
      <c r="F85" s="5">
        <f t="shared" si="5"/>
        <v>44280</v>
      </c>
    </row>
    <row r="86" spans="1:6" x14ac:dyDescent="0.35">
      <c r="B86" s="2" t="s">
        <v>79</v>
      </c>
      <c r="C86" s="2"/>
      <c r="D86" s="2">
        <v>1675</v>
      </c>
      <c r="E86" s="5">
        <v>120</v>
      </c>
      <c r="F86" s="5">
        <f t="shared" si="5"/>
        <v>201000</v>
      </c>
    </row>
    <row r="87" spans="1:6" x14ac:dyDescent="0.35">
      <c r="B87" s="2" t="s">
        <v>28</v>
      </c>
      <c r="C87" s="2"/>
      <c r="D87" s="2">
        <v>80</v>
      </c>
      <c r="E87" s="5">
        <v>75</v>
      </c>
      <c r="F87" s="5">
        <f t="shared" si="5"/>
        <v>6000</v>
      </c>
    </row>
    <row r="88" spans="1:6" x14ac:dyDescent="0.35">
      <c r="B88" s="2" t="s">
        <v>80</v>
      </c>
      <c r="C88" s="2"/>
      <c r="D88" s="2">
        <v>1</v>
      </c>
      <c r="E88" s="5">
        <v>22000</v>
      </c>
      <c r="F88" s="5">
        <f t="shared" si="5"/>
        <v>22000</v>
      </c>
    </row>
    <row r="89" spans="1:6" x14ac:dyDescent="0.35">
      <c r="B89" s="2" t="s">
        <v>5</v>
      </c>
      <c r="C89" s="2"/>
      <c r="D89" s="2"/>
      <c r="E89" s="5"/>
      <c r="F89" s="5">
        <f>SUM(F83:F88)</f>
        <v>483430</v>
      </c>
    </row>
    <row r="90" spans="1:6" x14ac:dyDescent="0.35">
      <c r="B90" s="2" t="s">
        <v>13</v>
      </c>
      <c r="C90" s="2"/>
      <c r="D90" s="2"/>
      <c r="E90" s="5"/>
      <c r="F90" s="5">
        <f>F89*0.1</f>
        <v>48343</v>
      </c>
    </row>
    <row r="91" spans="1:6" x14ac:dyDescent="0.35">
      <c r="B91" s="2" t="s">
        <v>12</v>
      </c>
      <c r="C91" s="2"/>
      <c r="D91" s="2"/>
      <c r="E91" s="5"/>
      <c r="F91" s="4">
        <f>F89+F90</f>
        <v>531773</v>
      </c>
    </row>
    <row r="92" spans="1:6" x14ac:dyDescent="0.35">
      <c r="E92" s="3"/>
      <c r="F92" s="12"/>
    </row>
    <row r="93" spans="1:6" ht="43.5" x14ac:dyDescent="0.35">
      <c r="A93" s="9" t="s">
        <v>84</v>
      </c>
      <c r="B93" s="2" t="s">
        <v>85</v>
      </c>
      <c r="C93" s="2" t="s">
        <v>30</v>
      </c>
      <c r="D93" s="2">
        <v>1</v>
      </c>
      <c r="E93" s="5">
        <v>30000</v>
      </c>
      <c r="F93" s="5">
        <f>D93*E93</f>
        <v>30000</v>
      </c>
    </row>
    <row r="94" spans="1:6" x14ac:dyDescent="0.35">
      <c r="B94" s="2" t="s">
        <v>87</v>
      </c>
      <c r="C94" s="2" t="s">
        <v>30</v>
      </c>
      <c r="D94" s="2">
        <v>1</v>
      </c>
      <c r="E94" s="5">
        <v>10000</v>
      </c>
      <c r="F94" s="5">
        <f>D94*E94</f>
        <v>10000</v>
      </c>
    </row>
    <row r="95" spans="1:6" x14ac:dyDescent="0.35">
      <c r="B95" s="2" t="s">
        <v>86</v>
      </c>
      <c r="C95" s="2" t="s">
        <v>30</v>
      </c>
      <c r="D95" s="2">
        <v>1</v>
      </c>
      <c r="E95" s="5">
        <v>120000</v>
      </c>
      <c r="F95" s="5">
        <f>D95*E95</f>
        <v>120000</v>
      </c>
    </row>
    <row r="96" spans="1:6" x14ac:dyDescent="0.35">
      <c r="B96" s="2" t="s">
        <v>89</v>
      </c>
      <c r="C96" s="2" t="s">
        <v>25</v>
      </c>
      <c r="D96" s="2">
        <v>855</v>
      </c>
      <c r="E96" s="5">
        <v>85</v>
      </c>
      <c r="F96" s="5">
        <f>D96*E96</f>
        <v>72675</v>
      </c>
    </row>
    <row r="97" spans="1:6" x14ac:dyDescent="0.35">
      <c r="B97" s="2" t="s">
        <v>5</v>
      </c>
      <c r="C97" s="2"/>
      <c r="D97" s="2"/>
      <c r="E97" s="5"/>
      <c r="F97" s="5">
        <f>SUM(F93:F96)</f>
        <v>232675</v>
      </c>
    </row>
    <row r="98" spans="1:6" x14ac:dyDescent="0.35">
      <c r="B98" s="2" t="s">
        <v>88</v>
      </c>
      <c r="C98" s="2"/>
      <c r="D98" s="2"/>
      <c r="E98" s="5"/>
      <c r="F98" s="5">
        <f>F97*0.15</f>
        <v>34901.25</v>
      </c>
    </row>
    <row r="99" spans="1:6" x14ac:dyDescent="0.35">
      <c r="B99" s="2" t="s">
        <v>12</v>
      </c>
      <c r="C99" s="2"/>
      <c r="D99" s="2"/>
      <c r="E99" s="5"/>
      <c r="F99" s="4">
        <f>F97+F98</f>
        <v>267576.25</v>
      </c>
    </row>
    <row r="100" spans="1:6" x14ac:dyDescent="0.35">
      <c r="E100" s="3"/>
      <c r="F100" s="3"/>
    </row>
    <row r="101" spans="1:6" x14ac:dyDescent="0.35">
      <c r="A101" s="1" t="s">
        <v>7</v>
      </c>
      <c r="B101" s="2" t="s">
        <v>23</v>
      </c>
      <c r="C101" s="2" t="s">
        <v>25</v>
      </c>
      <c r="D101" s="2">
        <v>465</v>
      </c>
      <c r="E101" s="5">
        <v>90</v>
      </c>
      <c r="F101" s="5">
        <f>D101*E101</f>
        <v>41850</v>
      </c>
    </row>
    <row r="102" spans="1:6" x14ac:dyDescent="0.35">
      <c r="B102" s="2" t="s">
        <v>24</v>
      </c>
      <c r="C102" s="2" t="s">
        <v>25</v>
      </c>
      <c r="D102" s="2">
        <v>1225</v>
      </c>
      <c r="E102" s="5">
        <v>90</v>
      </c>
      <c r="F102" s="5">
        <f t="shared" ref="F102:F106" si="6">D102*E102</f>
        <v>110250</v>
      </c>
    </row>
    <row r="103" spans="1:6" x14ac:dyDescent="0.35">
      <c r="B103" s="2" t="s">
        <v>27</v>
      </c>
      <c r="C103" s="2" t="s">
        <v>25</v>
      </c>
      <c r="D103" s="2">
        <v>148</v>
      </c>
      <c r="E103" s="5">
        <v>110</v>
      </c>
      <c r="F103" s="5">
        <f t="shared" si="6"/>
        <v>16280</v>
      </c>
    </row>
    <row r="104" spans="1:6" x14ac:dyDescent="0.35">
      <c r="B104" s="2" t="s">
        <v>19</v>
      </c>
      <c r="C104" s="2" t="s">
        <v>25</v>
      </c>
      <c r="D104" s="2">
        <v>1662</v>
      </c>
      <c r="E104" s="5">
        <v>110</v>
      </c>
      <c r="F104" s="5">
        <f t="shared" si="6"/>
        <v>182820</v>
      </c>
    </row>
    <row r="105" spans="1:6" x14ac:dyDescent="0.35">
      <c r="B105" s="2" t="s">
        <v>28</v>
      </c>
      <c r="C105" s="2" t="s">
        <v>25</v>
      </c>
      <c r="D105" s="2">
        <v>860</v>
      </c>
      <c r="E105" s="5">
        <v>80</v>
      </c>
      <c r="F105" s="5">
        <f t="shared" si="6"/>
        <v>68800</v>
      </c>
    </row>
    <row r="106" spans="1:6" x14ac:dyDescent="0.35">
      <c r="B106" s="2" t="s">
        <v>29</v>
      </c>
      <c r="C106" s="2" t="s">
        <v>30</v>
      </c>
      <c r="D106" s="2">
        <v>3</v>
      </c>
      <c r="E106" s="5">
        <v>30000</v>
      </c>
      <c r="F106" s="5">
        <f t="shared" si="6"/>
        <v>90000</v>
      </c>
    </row>
    <row r="107" spans="1:6" x14ac:dyDescent="0.35">
      <c r="A107" s="1"/>
      <c r="B107" s="2" t="s">
        <v>5</v>
      </c>
      <c r="C107" s="2"/>
      <c r="D107" s="2"/>
      <c r="E107" s="5"/>
      <c r="F107" s="5">
        <f>SUM(F101:F106)</f>
        <v>510000</v>
      </c>
    </row>
    <row r="108" spans="1:6" x14ac:dyDescent="0.35">
      <c r="A108" s="1"/>
      <c r="B108" s="2" t="s">
        <v>31</v>
      </c>
      <c r="C108" s="2"/>
      <c r="D108" s="2"/>
      <c r="E108" s="5"/>
      <c r="F108" s="5">
        <f>F107*0.15</f>
        <v>76500</v>
      </c>
    </row>
    <row r="109" spans="1:6" x14ac:dyDescent="0.35">
      <c r="A109" s="1"/>
      <c r="B109" s="2" t="s">
        <v>32</v>
      </c>
      <c r="C109" s="2"/>
      <c r="D109" s="2"/>
      <c r="E109" s="5"/>
      <c r="F109" s="5">
        <f>F107+F108</f>
        <v>586500</v>
      </c>
    </row>
    <row r="110" spans="1:6" x14ac:dyDescent="0.35">
      <c r="A110" s="1"/>
      <c r="B110" s="2" t="s">
        <v>33</v>
      </c>
      <c r="C110" s="2"/>
      <c r="D110" s="2"/>
      <c r="E110" s="5"/>
      <c r="F110" s="5">
        <f>F109*0.05</f>
        <v>29325</v>
      </c>
    </row>
    <row r="111" spans="1:6" x14ac:dyDescent="0.35">
      <c r="A111" s="1"/>
      <c r="B111" s="2" t="s">
        <v>12</v>
      </c>
      <c r="C111" s="2"/>
      <c r="D111" s="2"/>
      <c r="E111" s="5"/>
      <c r="F111" s="4">
        <f>SUM(F109:F110)</f>
        <v>615825</v>
      </c>
    </row>
    <row r="112" spans="1:6" x14ac:dyDescent="0.35">
      <c r="E112" s="3"/>
      <c r="F112" s="3"/>
    </row>
    <row r="113" spans="1:6" x14ac:dyDescent="0.35">
      <c r="A113" s="1" t="s">
        <v>8</v>
      </c>
      <c r="B113" s="8" t="s">
        <v>18</v>
      </c>
      <c r="C113" s="8"/>
      <c r="D113" s="2">
        <v>424</v>
      </c>
      <c r="E113" s="5">
        <v>130</v>
      </c>
      <c r="F113" s="5">
        <f t="shared" ref="F113:F114" si="7">D113*E113</f>
        <v>55120</v>
      </c>
    </row>
    <row r="114" spans="1:6" x14ac:dyDescent="0.35">
      <c r="A114" s="1"/>
      <c r="B114" s="2" t="s">
        <v>17</v>
      </c>
      <c r="C114" s="2"/>
      <c r="D114" s="2">
        <v>7</v>
      </c>
      <c r="E114" s="5">
        <v>300</v>
      </c>
      <c r="F114" s="5">
        <f t="shared" si="7"/>
        <v>2100</v>
      </c>
    </row>
    <row r="115" spans="1:6" x14ac:dyDescent="0.35">
      <c r="B115" s="2" t="s">
        <v>16</v>
      </c>
      <c r="C115" s="2"/>
      <c r="D115" s="2"/>
      <c r="E115" s="2"/>
      <c r="F115" s="2">
        <f>F113*0.14</f>
        <v>7716.8000000000011</v>
      </c>
    </row>
    <row r="116" spans="1:6" x14ac:dyDescent="0.35">
      <c r="B116" s="2" t="s">
        <v>12</v>
      </c>
      <c r="C116" s="2"/>
      <c r="D116" s="2"/>
      <c r="E116" s="2"/>
      <c r="F116" s="4">
        <f>SUM(F113:F115)</f>
        <v>64936.800000000003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Eelarve ja ajakava</vt:lpstr>
      <vt:lpstr>AS Viljandi Veevärk</vt:lpstr>
      <vt:lpstr>OÜ Ramsi VK</vt:lpstr>
      <vt:lpstr>OÜ Põltsamaa Vesi</vt:lpstr>
      <vt:lpstr>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RAUL ALTNURME</cp:lastModifiedBy>
  <dcterms:created xsi:type="dcterms:W3CDTF">2018-01-26T08:32:37Z</dcterms:created>
  <dcterms:modified xsi:type="dcterms:W3CDTF">2025-09-12T08:41:50Z</dcterms:modified>
</cp:coreProperties>
</file>